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0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ei\Desktop\"/>
    </mc:Choice>
  </mc:AlternateContent>
  <xr:revisionPtr revIDLastSave="0" documentId="13_ncr:1_{683E0E68-1913-4449-8C54-B3F786352A8A}" xr6:coauthVersionLast="45" xr6:coauthVersionMax="47" xr10:uidLastSave="{00000000-0000-0000-0000-000000000000}"/>
  <bookViews>
    <workbookView xWindow="2325" yWindow="3435" windowWidth="22575" windowHeight="10230" activeTab="7" xr2:uid="{00000000-000D-0000-FFFF-FFFF00000000}"/>
  </bookViews>
  <sheets>
    <sheet name="General Day 1 Pre and Post" sheetId="1" r:id="rId1"/>
    <sheet name="Hand-Arm Strength" sheetId="25" r:id="rId2"/>
    <sheet name="Lower Body Strength" sheetId="26" r:id="rId3"/>
    <sheet name="Agility-Dy Balance" sheetId="27" r:id="rId4"/>
    <sheet name="Cognition" sheetId="23" r:id="rId5"/>
    <sheet name="CVLT" sheetId="12" r:id="rId6"/>
    <sheet name="NIH" sheetId="13" r:id="rId7"/>
    <sheet name="Aerobic Endurnce" sheetId="6" r:id="rId8"/>
    <sheet name="Gait SS" sheetId="28" r:id="rId9"/>
    <sheet name="Gait FG" sheetId="29" r:id="rId10"/>
    <sheet name="Gait DT" sheetId="30" r:id="rId11"/>
    <sheet name="Gait Velocities and Costs" sheetId="31" r:id="rId12"/>
    <sheet name="Step Reaction" sheetId="32" r:id="rId13"/>
    <sheet name="Balance MTS" sheetId="34" r:id="rId14"/>
    <sheet name="Balance NS" sheetId="35" r:id="rId15"/>
    <sheet name="Balance TS" sheetId="36" r:id="rId16"/>
    <sheet name="RPAQ" sheetId="37" r:id="rId17"/>
    <sheet name="Bloodwork" sheetId="33" r:id="rId18"/>
    <sheet name="FitBit" sheetId="18" r:id="rId19"/>
    <sheet name="Swings" sheetId="19" r:id="rId20"/>
  </sheets>
  <externalReferences>
    <externalReference r:id="rId21"/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6" l="1"/>
  <c r="K11" i="6"/>
  <c r="J12" i="6"/>
  <c r="J11" i="6"/>
  <c r="I12" i="6"/>
  <c r="I11" i="6"/>
  <c r="H12" i="6"/>
  <c r="H11" i="6"/>
  <c r="J11" i="27"/>
  <c r="I12" i="27"/>
  <c r="I11" i="27"/>
  <c r="H12" i="27"/>
  <c r="I9" i="27"/>
  <c r="G9" i="27"/>
  <c r="I8" i="27"/>
  <c r="J7" i="27"/>
  <c r="I7" i="27"/>
  <c r="J6" i="27"/>
  <c r="J12" i="27" s="1"/>
  <c r="I6" i="27"/>
  <c r="H8" i="27"/>
  <c r="G8" i="27"/>
  <c r="H7" i="27"/>
  <c r="H11" i="27" s="1"/>
  <c r="G7" i="27"/>
  <c r="G12" i="27" s="1"/>
  <c r="J12" i="26"/>
  <c r="J11" i="26"/>
  <c r="I12" i="26"/>
  <c r="I11" i="26"/>
  <c r="H12" i="26"/>
  <c r="H11" i="26"/>
  <c r="G12" i="26"/>
  <c r="G11" i="26"/>
  <c r="M3" i="26"/>
  <c r="M4" i="26"/>
  <c r="M5" i="26"/>
  <c r="M6" i="26"/>
  <c r="M7" i="26"/>
  <c r="M8" i="26"/>
  <c r="M9" i="26"/>
  <c r="M10" i="26"/>
  <c r="M11" i="26"/>
  <c r="M12" i="26"/>
  <c r="M13" i="26"/>
  <c r="M14" i="26"/>
  <c r="M15" i="26"/>
  <c r="K17" i="26"/>
  <c r="M24" i="26" s="1"/>
  <c r="L17" i="26"/>
  <c r="K18" i="26"/>
  <c r="L18" i="26"/>
  <c r="L23" i="26"/>
  <c r="M12" i="25"/>
  <c r="M11" i="25"/>
  <c r="L12" i="25"/>
  <c r="L9" i="25"/>
  <c r="N8" i="25"/>
  <c r="O7" i="25"/>
  <c r="N7" i="25"/>
  <c r="N11" i="25" s="1"/>
  <c r="O6" i="25"/>
  <c r="O12" i="25" s="1"/>
  <c r="N6" i="25"/>
  <c r="N12" i="25" s="1"/>
  <c r="M8" i="25"/>
  <c r="L8" i="25"/>
  <c r="M7" i="25"/>
  <c r="L7" i="25"/>
  <c r="L11" i="25" s="1"/>
  <c r="O11" i="25" l="1"/>
  <c r="M18" i="26"/>
  <c r="M17" i="26"/>
  <c r="G11" i="27"/>
  <c r="AH24" i="1"/>
  <c r="AE24" i="1"/>
  <c r="AB24" i="1"/>
  <c r="AB18" i="1"/>
  <c r="AD18" i="1"/>
  <c r="AE18" i="1"/>
  <c r="AG18" i="1"/>
  <c r="AH18" i="1"/>
  <c r="AA18" i="1"/>
  <c r="AB17" i="1"/>
  <c r="AD17" i="1"/>
  <c r="AE17" i="1"/>
  <c r="AG17" i="1"/>
  <c r="AH17" i="1"/>
  <c r="AI17" i="1" s="1"/>
  <c r="AA17" i="1"/>
  <c r="C28" i="37" l="1"/>
  <c r="D3" i="37"/>
  <c r="D4" i="37"/>
  <c r="D5" i="37"/>
  <c r="D6" i="37"/>
  <c r="D7" i="37"/>
  <c r="D8" i="37"/>
  <c r="D9" i="37"/>
  <c r="D10" i="37"/>
  <c r="D11" i="37"/>
  <c r="D12" i="37"/>
  <c r="D13" i="37"/>
  <c r="D14" i="37"/>
  <c r="D15" i="37"/>
  <c r="C18" i="37"/>
  <c r="B18" i="37"/>
  <c r="C17" i="37"/>
  <c r="C20" i="37" s="1"/>
  <c r="B17" i="37"/>
  <c r="D2" i="37"/>
  <c r="I16" i="1" l="1"/>
  <c r="C34" i="33" l="1"/>
  <c r="B34" i="33"/>
  <c r="C33" i="33"/>
  <c r="B33" i="33"/>
  <c r="D36" i="33"/>
  <c r="M29" i="33"/>
  <c r="K29" i="33"/>
  <c r="I29" i="33"/>
  <c r="G22" i="33"/>
  <c r="F22" i="33"/>
  <c r="G21" i="33"/>
  <c r="F21" i="33"/>
  <c r="D23" i="33" l="1"/>
  <c r="W29" i="36" l="1"/>
  <c r="Z29" i="36"/>
  <c r="AA29" i="36"/>
  <c r="AD29" i="36"/>
  <c r="AE29" i="36"/>
  <c r="AE28" i="36"/>
  <c r="AD28" i="36"/>
  <c r="AA28" i="36"/>
  <c r="AA34" i="36" s="1"/>
  <c r="Z28" i="36"/>
  <c r="W28" i="36"/>
  <c r="V29" i="36"/>
  <c r="V28" i="36"/>
  <c r="AE34" i="36" l="1"/>
  <c r="W34" i="36"/>
  <c r="C23" i="13"/>
  <c r="AE32" i="36" l="1"/>
  <c r="AA32" i="36"/>
  <c r="W32" i="36"/>
  <c r="C26" i="36"/>
  <c r="F26" i="36"/>
  <c r="G26" i="36"/>
  <c r="J26" i="36"/>
  <c r="K26" i="36"/>
  <c r="N26" i="36"/>
  <c r="O26" i="36"/>
  <c r="R26" i="36"/>
  <c r="S26" i="36"/>
  <c r="V26" i="36"/>
  <c r="W26" i="36"/>
  <c r="Z26" i="36"/>
  <c r="AA26" i="36"/>
  <c r="AD26" i="36"/>
  <c r="AE26" i="36"/>
  <c r="C25" i="36"/>
  <c r="F25" i="36"/>
  <c r="G25" i="36"/>
  <c r="J25" i="36"/>
  <c r="K25" i="36"/>
  <c r="N25" i="36"/>
  <c r="O25" i="36"/>
  <c r="R25" i="36"/>
  <c r="S25" i="36"/>
  <c r="V25" i="36"/>
  <c r="W25" i="36"/>
  <c r="Z25" i="36"/>
  <c r="AA25" i="36"/>
  <c r="AD25" i="36"/>
  <c r="AE25" i="36"/>
  <c r="B25" i="36"/>
  <c r="B26" i="36"/>
  <c r="S18" i="1" l="1"/>
  <c r="S17" i="1"/>
  <c r="R17" i="1"/>
  <c r="R18" i="1"/>
  <c r="AD23" i="26" l="1"/>
  <c r="AE4" i="26"/>
  <c r="AE5" i="26"/>
  <c r="AE6" i="26"/>
  <c r="AE7" i="26"/>
  <c r="AE8" i="26"/>
  <c r="AE9" i="26"/>
  <c r="AG9" i="26" s="1"/>
  <c r="AE10" i="26"/>
  <c r="AE11" i="26"/>
  <c r="AE12" i="26"/>
  <c r="AE13" i="26"/>
  <c r="AE14" i="26"/>
  <c r="AG14" i="26" s="1"/>
  <c r="AE15" i="26"/>
  <c r="AE3" i="26"/>
  <c r="AD4" i="26"/>
  <c r="AD5" i="26"/>
  <c r="AD6" i="26"/>
  <c r="AD7" i="26"/>
  <c r="AD8" i="26"/>
  <c r="AD9" i="26"/>
  <c r="AD10" i="26"/>
  <c r="AD11" i="26"/>
  <c r="AD12" i="26"/>
  <c r="AD13" i="26"/>
  <c r="AD14" i="26"/>
  <c r="AD15" i="26"/>
  <c r="AD3" i="26"/>
  <c r="AG11" i="26" l="1"/>
  <c r="AG10" i="26"/>
  <c r="AG6" i="26"/>
  <c r="AD17" i="26"/>
  <c r="AG3" i="26"/>
  <c r="AE17" i="26"/>
  <c r="AF25" i="26" s="1"/>
  <c r="AE18" i="26"/>
  <c r="AG13" i="26"/>
  <c r="AG8" i="26"/>
  <c r="AG7" i="26"/>
  <c r="AG5" i="26"/>
  <c r="AG4" i="26"/>
  <c r="AG15" i="26"/>
  <c r="AD18" i="26"/>
  <c r="AG12" i="26"/>
  <c r="N17" i="31"/>
  <c r="S24" i="31"/>
  <c r="O24" i="31"/>
  <c r="AG18" i="26" l="1"/>
  <c r="AG17" i="26"/>
  <c r="F17" i="31"/>
  <c r="Z17" i="28" l="1"/>
  <c r="J26" i="25" l="1"/>
  <c r="I26" i="25"/>
  <c r="I23" i="25"/>
  <c r="E23" i="25"/>
  <c r="AE23" i="36" l="1"/>
  <c r="AA23" i="36"/>
  <c r="W23" i="36"/>
  <c r="S23" i="36"/>
  <c r="O23" i="36"/>
  <c r="K23" i="36"/>
  <c r="G23" i="36"/>
  <c r="C23" i="36"/>
  <c r="AE23" i="35"/>
  <c r="AA23" i="35"/>
  <c r="W23" i="35"/>
  <c r="S23" i="35"/>
  <c r="O23" i="35"/>
  <c r="K23" i="35"/>
  <c r="G23" i="35"/>
  <c r="C23" i="35"/>
  <c r="AE23" i="34"/>
  <c r="AA23" i="34"/>
  <c r="W23" i="34"/>
  <c r="S23" i="34"/>
  <c r="O23" i="34"/>
  <c r="K23" i="34"/>
  <c r="G23" i="34"/>
  <c r="C23" i="34"/>
  <c r="AA18" i="33" l="1"/>
  <c r="AA17" i="33"/>
  <c r="Z18" i="33"/>
  <c r="Z17" i="33"/>
  <c r="W18" i="33"/>
  <c r="W17" i="33"/>
  <c r="V18" i="33"/>
  <c r="V17" i="33"/>
  <c r="S18" i="33"/>
  <c r="S17" i="33"/>
  <c r="R18" i="33"/>
  <c r="R17" i="33"/>
  <c r="O18" i="33"/>
  <c r="O17" i="33"/>
  <c r="N18" i="33"/>
  <c r="N17" i="33"/>
  <c r="K18" i="33"/>
  <c r="K17" i="33"/>
  <c r="J18" i="33"/>
  <c r="J17" i="33"/>
  <c r="G18" i="33"/>
  <c r="G17" i="33"/>
  <c r="F18" i="33"/>
  <c r="F17" i="33"/>
  <c r="C18" i="33"/>
  <c r="C17" i="33"/>
  <c r="B18" i="33"/>
  <c r="B17" i="33"/>
  <c r="AB10" i="33"/>
  <c r="AB11" i="33"/>
  <c r="AB12" i="33"/>
  <c r="AB13" i="33"/>
  <c r="AB14" i="33"/>
  <c r="AB15" i="33"/>
  <c r="AB6" i="33"/>
  <c r="AB7" i="33"/>
  <c r="AB9" i="33"/>
  <c r="AB5" i="33"/>
  <c r="AB3" i="33"/>
  <c r="X14" i="33"/>
  <c r="X12" i="33"/>
  <c r="X6" i="33"/>
  <c r="X5" i="33"/>
  <c r="X3" i="33"/>
  <c r="T14" i="33"/>
  <c r="T13" i="33"/>
  <c r="T7" i="33"/>
  <c r="P15" i="33"/>
  <c r="P14" i="33"/>
  <c r="P12" i="33"/>
  <c r="P6" i="33"/>
  <c r="P5" i="33"/>
  <c r="P3" i="33"/>
  <c r="L10" i="33"/>
  <c r="L11" i="33"/>
  <c r="L12" i="33"/>
  <c r="L13" i="33"/>
  <c r="L14" i="33"/>
  <c r="L15" i="33"/>
  <c r="L6" i="33"/>
  <c r="L7" i="33"/>
  <c r="L9" i="33"/>
  <c r="L5" i="33"/>
  <c r="L3" i="33"/>
  <c r="H6" i="33"/>
  <c r="H7" i="33"/>
  <c r="H10" i="33"/>
  <c r="H11" i="33"/>
  <c r="H12" i="33"/>
  <c r="H13" i="33"/>
  <c r="H14" i="33"/>
  <c r="H15" i="33"/>
  <c r="H9" i="33"/>
  <c r="H5" i="33"/>
  <c r="H3" i="33"/>
  <c r="AB2" i="33"/>
  <c r="X2" i="33"/>
  <c r="T2" i="33"/>
  <c r="P2" i="33"/>
  <c r="L2" i="33"/>
  <c r="H2" i="33"/>
  <c r="D13" i="33"/>
  <c r="D10" i="33"/>
  <c r="D11" i="33"/>
  <c r="D12" i="33"/>
  <c r="D14" i="33"/>
  <c r="D15" i="33"/>
  <c r="D9" i="33"/>
  <c r="D6" i="33"/>
  <c r="D7" i="33"/>
  <c r="D5" i="33"/>
  <c r="D3" i="33"/>
  <c r="L17" i="33" l="1"/>
  <c r="X17" i="33"/>
  <c r="T17" i="33"/>
  <c r="H17" i="33"/>
  <c r="D17" i="33"/>
  <c r="P17" i="33"/>
  <c r="AB17" i="33"/>
  <c r="P18" i="33"/>
  <c r="L18" i="33"/>
  <c r="T18" i="33"/>
  <c r="AB18" i="33"/>
  <c r="H18" i="33"/>
  <c r="X18" i="33"/>
  <c r="D2" i="33" l="1"/>
  <c r="C18" i="36"/>
  <c r="F18" i="36"/>
  <c r="G18" i="36"/>
  <c r="J18" i="36"/>
  <c r="K18" i="36"/>
  <c r="N18" i="36"/>
  <c r="O18" i="36"/>
  <c r="R18" i="36"/>
  <c r="S18" i="36"/>
  <c r="V18" i="36"/>
  <c r="W18" i="36"/>
  <c r="Z18" i="36"/>
  <c r="AA18" i="36"/>
  <c r="AD18" i="36"/>
  <c r="AE18" i="36"/>
  <c r="C17" i="36"/>
  <c r="F17" i="36"/>
  <c r="G17" i="36"/>
  <c r="J17" i="36"/>
  <c r="K17" i="36"/>
  <c r="N17" i="36"/>
  <c r="O17" i="36"/>
  <c r="R17" i="36"/>
  <c r="S17" i="36"/>
  <c r="V17" i="36"/>
  <c r="W17" i="36"/>
  <c r="Z17" i="36"/>
  <c r="AA17" i="36"/>
  <c r="AD17" i="36"/>
  <c r="AE17" i="36"/>
  <c r="B18" i="36"/>
  <c r="B17" i="36"/>
  <c r="AF3" i="36"/>
  <c r="AF4" i="36"/>
  <c r="AF5" i="36"/>
  <c r="AF6" i="36"/>
  <c r="AF7" i="36"/>
  <c r="AF8" i="36"/>
  <c r="AF9" i="36"/>
  <c r="AF10" i="36"/>
  <c r="AF11" i="36"/>
  <c r="AF12" i="36"/>
  <c r="AF13" i="36"/>
  <c r="AF14" i="36"/>
  <c r="AF15" i="36"/>
  <c r="AB3" i="36"/>
  <c r="AB4" i="36"/>
  <c r="AB5" i="36"/>
  <c r="AB6" i="36"/>
  <c r="AB7" i="36"/>
  <c r="AB8" i="36"/>
  <c r="AB9" i="36"/>
  <c r="AB10" i="36"/>
  <c r="AB11" i="36"/>
  <c r="AB12" i="36"/>
  <c r="AB13" i="36"/>
  <c r="AB14" i="36"/>
  <c r="AB15" i="36"/>
  <c r="X3" i="36"/>
  <c r="X4" i="36"/>
  <c r="X5" i="36"/>
  <c r="X6" i="36"/>
  <c r="X7" i="36"/>
  <c r="X8" i="36"/>
  <c r="X9" i="36"/>
  <c r="X10" i="36"/>
  <c r="X11" i="36"/>
  <c r="X12" i="36"/>
  <c r="X13" i="36"/>
  <c r="X14" i="36"/>
  <c r="X15" i="36"/>
  <c r="T3" i="36"/>
  <c r="T4" i="36"/>
  <c r="T5" i="36"/>
  <c r="T6" i="36"/>
  <c r="T7" i="36"/>
  <c r="T8" i="36"/>
  <c r="T9" i="36"/>
  <c r="T10" i="36"/>
  <c r="T11" i="36"/>
  <c r="T12" i="36"/>
  <c r="T13" i="36"/>
  <c r="T14" i="36"/>
  <c r="T15" i="36"/>
  <c r="P3" i="36"/>
  <c r="P4" i="36"/>
  <c r="P5" i="36"/>
  <c r="P6" i="36"/>
  <c r="P7" i="36"/>
  <c r="P8" i="36"/>
  <c r="P9" i="36"/>
  <c r="P10" i="36"/>
  <c r="P11" i="36"/>
  <c r="P12" i="36"/>
  <c r="P13" i="36"/>
  <c r="P14" i="36"/>
  <c r="P15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H3" i="36"/>
  <c r="H4" i="36"/>
  <c r="H5" i="36"/>
  <c r="H6" i="36"/>
  <c r="H7" i="36"/>
  <c r="H8" i="36"/>
  <c r="H9" i="36"/>
  <c r="H10" i="36"/>
  <c r="H11" i="36"/>
  <c r="H12" i="36"/>
  <c r="H13" i="36"/>
  <c r="H14" i="36"/>
  <c r="H15" i="36"/>
  <c r="D3" i="36"/>
  <c r="D4" i="36"/>
  <c r="D5" i="36"/>
  <c r="D6" i="36"/>
  <c r="D7" i="36"/>
  <c r="D8" i="36"/>
  <c r="D9" i="36"/>
  <c r="D10" i="36"/>
  <c r="D11" i="36"/>
  <c r="D12" i="36"/>
  <c r="D13" i="36"/>
  <c r="D14" i="36"/>
  <c r="D15" i="36"/>
  <c r="AF2" i="36"/>
  <c r="AB2" i="36"/>
  <c r="X2" i="36"/>
  <c r="T2" i="36"/>
  <c r="P2" i="36"/>
  <c r="L2" i="36"/>
  <c r="H2" i="36"/>
  <c r="D2" i="36"/>
  <c r="L25" i="36" l="1"/>
  <c r="L26" i="36"/>
  <c r="H25" i="36"/>
  <c r="H26" i="36"/>
  <c r="L18" i="36"/>
  <c r="P17" i="36"/>
  <c r="P26" i="36"/>
  <c r="P25" i="36"/>
  <c r="T17" i="36"/>
  <c r="T25" i="36"/>
  <c r="T26" i="36"/>
  <c r="AB28" i="36"/>
  <c r="AB26" i="36"/>
  <c r="AB25" i="36"/>
  <c r="AF28" i="36"/>
  <c r="X28" i="36"/>
  <c r="X25" i="36"/>
  <c r="X26" i="36"/>
  <c r="D25" i="36"/>
  <c r="D26" i="36"/>
  <c r="H17" i="36"/>
  <c r="L17" i="36"/>
  <c r="AB17" i="36"/>
  <c r="X18" i="36"/>
  <c r="AF17" i="36"/>
  <c r="X17" i="36"/>
  <c r="D17" i="36"/>
  <c r="AF18" i="36"/>
  <c r="T18" i="36"/>
  <c r="H18" i="36"/>
  <c r="AB18" i="36"/>
  <c r="P18" i="36"/>
  <c r="D18" i="33"/>
  <c r="D18" i="36"/>
  <c r="V18" i="1"/>
  <c r="W18" i="1"/>
  <c r="V17" i="1"/>
  <c r="W17" i="1"/>
  <c r="X3" i="1"/>
  <c r="X4" i="1"/>
  <c r="X5" i="1"/>
  <c r="X6" i="1"/>
  <c r="X7" i="1"/>
  <c r="X9" i="1"/>
  <c r="X10" i="1"/>
  <c r="X11" i="1"/>
  <c r="X12" i="1"/>
  <c r="X13" i="1"/>
  <c r="X14" i="1"/>
  <c r="X15" i="1"/>
  <c r="T3" i="1"/>
  <c r="T4" i="1"/>
  <c r="T5" i="1"/>
  <c r="T6" i="1"/>
  <c r="T7" i="1"/>
  <c r="T9" i="1"/>
  <c r="T10" i="1"/>
  <c r="T11" i="1"/>
  <c r="T12" i="1"/>
  <c r="T13" i="1"/>
  <c r="T14" i="1"/>
  <c r="T15" i="1"/>
  <c r="X2" i="1"/>
  <c r="T2" i="1"/>
  <c r="C18" i="35"/>
  <c r="F18" i="35"/>
  <c r="G18" i="35"/>
  <c r="J18" i="35"/>
  <c r="K18" i="35"/>
  <c r="N18" i="35"/>
  <c r="O18" i="35"/>
  <c r="R18" i="35"/>
  <c r="S18" i="35"/>
  <c r="V18" i="35"/>
  <c r="W18" i="35"/>
  <c r="Z18" i="35"/>
  <c r="AA18" i="35"/>
  <c r="AD18" i="35"/>
  <c r="AE18" i="35"/>
  <c r="C17" i="35"/>
  <c r="F17" i="35"/>
  <c r="G17" i="35"/>
  <c r="J17" i="35"/>
  <c r="K17" i="35"/>
  <c r="N17" i="35"/>
  <c r="O17" i="35"/>
  <c r="R17" i="35"/>
  <c r="S17" i="35"/>
  <c r="V17" i="35"/>
  <c r="W17" i="35"/>
  <c r="Z17" i="35"/>
  <c r="AA17" i="35"/>
  <c r="AD17" i="35"/>
  <c r="AE17" i="35"/>
  <c r="B18" i="35"/>
  <c r="B17" i="35"/>
  <c r="AF3" i="35"/>
  <c r="AF4" i="35"/>
  <c r="AF5" i="35"/>
  <c r="AF6" i="35"/>
  <c r="AF7" i="35"/>
  <c r="AF8" i="35"/>
  <c r="AF9" i="35"/>
  <c r="AF10" i="35"/>
  <c r="AF11" i="35"/>
  <c r="AF12" i="35"/>
  <c r="AF13" i="35"/>
  <c r="AF14" i="35"/>
  <c r="AF15" i="35"/>
  <c r="AB3" i="35"/>
  <c r="AB4" i="35"/>
  <c r="AB5" i="35"/>
  <c r="AB6" i="35"/>
  <c r="AB7" i="35"/>
  <c r="AB8" i="35"/>
  <c r="AB9" i="35"/>
  <c r="AB10" i="35"/>
  <c r="AB11" i="35"/>
  <c r="AB12" i="35"/>
  <c r="AB13" i="35"/>
  <c r="AB14" i="35"/>
  <c r="AB15" i="35"/>
  <c r="X3" i="35"/>
  <c r="X4" i="35"/>
  <c r="X5" i="35"/>
  <c r="X6" i="35"/>
  <c r="X7" i="35"/>
  <c r="X8" i="35"/>
  <c r="X9" i="35"/>
  <c r="X10" i="35"/>
  <c r="X11" i="35"/>
  <c r="X12" i="35"/>
  <c r="X13" i="35"/>
  <c r="X14" i="35"/>
  <c r="X15" i="35"/>
  <c r="T3" i="35"/>
  <c r="T4" i="35"/>
  <c r="T5" i="35"/>
  <c r="T6" i="35"/>
  <c r="T7" i="35"/>
  <c r="T8" i="35"/>
  <c r="T9" i="35"/>
  <c r="T10" i="35"/>
  <c r="T11" i="35"/>
  <c r="T12" i="35"/>
  <c r="T13" i="35"/>
  <c r="T14" i="35"/>
  <c r="T15" i="35"/>
  <c r="P3" i="35"/>
  <c r="P4" i="35"/>
  <c r="P5" i="35"/>
  <c r="P6" i="35"/>
  <c r="P7" i="35"/>
  <c r="P8" i="35"/>
  <c r="P9" i="35"/>
  <c r="P10" i="35"/>
  <c r="P11" i="35"/>
  <c r="P12" i="35"/>
  <c r="P13" i="35"/>
  <c r="P14" i="35"/>
  <c r="P15" i="35"/>
  <c r="L3" i="35"/>
  <c r="L4" i="35"/>
  <c r="L5" i="35"/>
  <c r="L6" i="35"/>
  <c r="L7" i="35"/>
  <c r="L8" i="35"/>
  <c r="L9" i="35"/>
  <c r="L10" i="35"/>
  <c r="L11" i="35"/>
  <c r="L12" i="35"/>
  <c r="L13" i="35"/>
  <c r="L14" i="35"/>
  <c r="L15" i="35"/>
  <c r="H3" i="35"/>
  <c r="H4" i="35"/>
  <c r="H5" i="35"/>
  <c r="H6" i="35"/>
  <c r="H7" i="35"/>
  <c r="H8" i="35"/>
  <c r="H9" i="35"/>
  <c r="H10" i="35"/>
  <c r="H11" i="35"/>
  <c r="H12" i="35"/>
  <c r="H13" i="35"/>
  <c r="H14" i="35"/>
  <c r="H15" i="35"/>
  <c r="D3" i="35"/>
  <c r="D4" i="35"/>
  <c r="D5" i="35"/>
  <c r="D6" i="35"/>
  <c r="D7" i="35"/>
  <c r="D8" i="35"/>
  <c r="D9" i="35"/>
  <c r="D10" i="35"/>
  <c r="D11" i="35"/>
  <c r="D12" i="35"/>
  <c r="D13" i="35"/>
  <c r="D14" i="35"/>
  <c r="D15" i="35"/>
  <c r="P2" i="35"/>
  <c r="AF2" i="35"/>
  <c r="AB2" i="35"/>
  <c r="X2" i="35"/>
  <c r="T2" i="35"/>
  <c r="L2" i="35"/>
  <c r="H2" i="35"/>
  <c r="D2" i="35"/>
  <c r="C18" i="34"/>
  <c r="F18" i="34"/>
  <c r="G18" i="34"/>
  <c r="J18" i="34"/>
  <c r="K18" i="34"/>
  <c r="N18" i="34"/>
  <c r="O18" i="34"/>
  <c r="R18" i="34"/>
  <c r="S18" i="34"/>
  <c r="V18" i="34"/>
  <c r="W18" i="34"/>
  <c r="Z18" i="34"/>
  <c r="AA18" i="34"/>
  <c r="AD18" i="34"/>
  <c r="AE18" i="34"/>
  <c r="C17" i="34"/>
  <c r="F17" i="34"/>
  <c r="G17" i="34"/>
  <c r="J17" i="34"/>
  <c r="K17" i="34"/>
  <c r="N17" i="34"/>
  <c r="O17" i="34"/>
  <c r="R17" i="34"/>
  <c r="S17" i="34"/>
  <c r="V17" i="34"/>
  <c r="W17" i="34"/>
  <c r="Z17" i="34"/>
  <c r="AA17" i="34"/>
  <c r="AD17" i="34"/>
  <c r="AE17" i="34"/>
  <c r="AF3" i="34"/>
  <c r="AF4" i="34"/>
  <c r="AF5" i="34"/>
  <c r="AF6" i="34"/>
  <c r="AF7" i="34"/>
  <c r="AF8" i="34"/>
  <c r="AF9" i="34"/>
  <c r="AF10" i="34"/>
  <c r="AF11" i="34"/>
  <c r="AF12" i="34"/>
  <c r="AF13" i="34"/>
  <c r="AF14" i="34"/>
  <c r="AF15" i="34"/>
  <c r="AB3" i="34"/>
  <c r="AB4" i="34"/>
  <c r="AB5" i="34"/>
  <c r="AB6" i="34"/>
  <c r="AB7" i="34"/>
  <c r="AB8" i="34"/>
  <c r="AB9" i="34"/>
  <c r="AB10" i="34"/>
  <c r="AB11" i="34"/>
  <c r="AB12" i="34"/>
  <c r="AB13" i="34"/>
  <c r="AB14" i="34"/>
  <c r="AB15" i="34"/>
  <c r="X3" i="34"/>
  <c r="X4" i="34"/>
  <c r="X5" i="34"/>
  <c r="X6" i="34"/>
  <c r="X7" i="34"/>
  <c r="X8" i="34"/>
  <c r="X9" i="34"/>
  <c r="X10" i="34"/>
  <c r="X11" i="34"/>
  <c r="X12" i="34"/>
  <c r="X13" i="34"/>
  <c r="X14" i="34"/>
  <c r="X15" i="34"/>
  <c r="T3" i="34"/>
  <c r="T4" i="34"/>
  <c r="T5" i="34"/>
  <c r="T6" i="34"/>
  <c r="T7" i="34"/>
  <c r="T8" i="34"/>
  <c r="T9" i="34"/>
  <c r="T10" i="34"/>
  <c r="T11" i="34"/>
  <c r="T12" i="34"/>
  <c r="T13" i="34"/>
  <c r="T14" i="34"/>
  <c r="T15" i="34"/>
  <c r="P3" i="34"/>
  <c r="P4" i="34"/>
  <c r="P5" i="34"/>
  <c r="P6" i="34"/>
  <c r="P7" i="34"/>
  <c r="P8" i="34"/>
  <c r="P9" i="34"/>
  <c r="P10" i="34"/>
  <c r="P11" i="34"/>
  <c r="P12" i="34"/>
  <c r="P13" i="34"/>
  <c r="P14" i="34"/>
  <c r="P15" i="34"/>
  <c r="L3" i="34"/>
  <c r="L4" i="34"/>
  <c r="L5" i="34"/>
  <c r="L6" i="34"/>
  <c r="L7" i="34"/>
  <c r="L8" i="34"/>
  <c r="L9" i="34"/>
  <c r="L10" i="34"/>
  <c r="L11" i="34"/>
  <c r="L12" i="34"/>
  <c r="L13" i="34"/>
  <c r="L14" i="34"/>
  <c r="L15" i="34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AF2" i="34"/>
  <c r="AB2" i="34"/>
  <c r="X2" i="34"/>
  <c r="T2" i="34"/>
  <c r="P2" i="34"/>
  <c r="L2" i="34"/>
  <c r="H2" i="34"/>
  <c r="D3" i="34"/>
  <c r="D4" i="34"/>
  <c r="D5" i="34"/>
  <c r="D6" i="34"/>
  <c r="D7" i="34"/>
  <c r="D8" i="34"/>
  <c r="D9" i="34"/>
  <c r="D10" i="34"/>
  <c r="D11" i="34"/>
  <c r="D12" i="34"/>
  <c r="D13" i="34"/>
  <c r="D14" i="34"/>
  <c r="D15" i="34"/>
  <c r="D2" i="34"/>
  <c r="D2" i="29"/>
  <c r="B18" i="34"/>
  <c r="B17" i="34"/>
  <c r="P17" i="34" l="1"/>
  <c r="X17" i="1"/>
  <c r="D18" i="34"/>
  <c r="H17" i="35"/>
  <c r="D17" i="34"/>
  <c r="X18" i="34"/>
  <c r="L17" i="35"/>
  <c r="D17" i="35"/>
  <c r="H17" i="34"/>
  <c r="AB18" i="35"/>
  <c r="AF17" i="35"/>
  <c r="X18" i="35"/>
  <c r="P17" i="35"/>
  <c r="X17" i="35"/>
  <c r="T17" i="1"/>
  <c r="L17" i="34"/>
  <c r="T17" i="34"/>
  <c r="X17" i="34"/>
  <c r="T17" i="35"/>
  <c r="P18" i="34"/>
  <c r="AB17" i="34"/>
  <c r="AF17" i="34"/>
  <c r="L18" i="35"/>
  <c r="D18" i="35"/>
  <c r="T18" i="1"/>
  <c r="L18" i="34"/>
  <c r="AF18" i="35"/>
  <c r="X18" i="1"/>
  <c r="AF18" i="34"/>
  <c r="T18" i="35"/>
  <c r="T18" i="34"/>
  <c r="H18" i="35"/>
  <c r="H18" i="34"/>
  <c r="AB18" i="34"/>
  <c r="P18" i="35"/>
  <c r="AB17" i="35"/>
  <c r="D23" i="6"/>
  <c r="W23" i="13"/>
  <c r="S23" i="13"/>
  <c r="O23" i="13"/>
  <c r="K23" i="13"/>
  <c r="G23" i="13"/>
  <c r="O23" i="12"/>
  <c r="K23" i="12"/>
  <c r="G23" i="12"/>
  <c r="C23" i="12"/>
  <c r="G23" i="23"/>
  <c r="C23" i="23"/>
  <c r="P23" i="27"/>
  <c r="L23" i="27"/>
  <c r="D23" i="27"/>
  <c r="Z23" i="26"/>
  <c r="T23" i="26"/>
  <c r="P23" i="26"/>
  <c r="D23" i="26"/>
  <c r="H23" i="25"/>
  <c r="D23" i="25"/>
  <c r="AQ24" i="31" l="1"/>
  <c r="AM24" i="31"/>
  <c r="AI24" i="31"/>
  <c r="AE24" i="31"/>
  <c r="AA24" i="31"/>
  <c r="W24" i="31"/>
  <c r="K24" i="31"/>
  <c r="G24" i="31"/>
  <c r="C24" i="31"/>
  <c r="C18" i="31"/>
  <c r="F18" i="31"/>
  <c r="G18" i="31"/>
  <c r="J18" i="31"/>
  <c r="K18" i="31"/>
  <c r="N18" i="31"/>
  <c r="O18" i="31"/>
  <c r="R18" i="31"/>
  <c r="S18" i="31"/>
  <c r="V18" i="31"/>
  <c r="W18" i="31"/>
  <c r="Z18" i="31"/>
  <c r="AA18" i="31"/>
  <c r="AD18" i="31"/>
  <c r="AE18" i="31"/>
  <c r="AH18" i="31"/>
  <c r="AI18" i="31"/>
  <c r="AL18" i="31"/>
  <c r="AM18" i="31"/>
  <c r="AP18" i="31"/>
  <c r="AQ18" i="31"/>
  <c r="C17" i="31"/>
  <c r="G17" i="31"/>
  <c r="G26" i="31" s="1"/>
  <c r="J17" i="31"/>
  <c r="K17" i="31"/>
  <c r="K26" i="31" s="1"/>
  <c r="O17" i="31"/>
  <c r="O26" i="31" s="1"/>
  <c r="R17" i="31"/>
  <c r="S17" i="31"/>
  <c r="V17" i="31"/>
  <c r="W17" i="31"/>
  <c r="W26" i="31" s="1"/>
  <c r="Z17" i="31"/>
  <c r="AA17" i="31"/>
  <c r="AD17" i="31"/>
  <c r="AE17" i="31"/>
  <c r="AF26" i="31" s="1"/>
  <c r="AH17" i="31"/>
  <c r="AI17" i="31"/>
  <c r="AL17" i="31"/>
  <c r="AM17" i="31"/>
  <c r="AP17" i="31"/>
  <c r="AQ17" i="31"/>
  <c r="AI24" i="32"/>
  <c r="AE24" i="32"/>
  <c r="AA24" i="32"/>
  <c r="W24" i="32"/>
  <c r="S24" i="32"/>
  <c r="O24" i="32"/>
  <c r="K24" i="32"/>
  <c r="G24" i="32"/>
  <c r="C24" i="32"/>
  <c r="C18" i="32"/>
  <c r="F18" i="32"/>
  <c r="G18" i="32"/>
  <c r="J18" i="32"/>
  <c r="K18" i="32"/>
  <c r="N18" i="32"/>
  <c r="O18" i="32"/>
  <c r="R18" i="32"/>
  <c r="S18" i="32"/>
  <c r="V18" i="32"/>
  <c r="W18" i="32"/>
  <c r="Z18" i="32"/>
  <c r="AA18" i="32"/>
  <c r="AD18" i="32"/>
  <c r="AE18" i="32"/>
  <c r="AH18" i="32"/>
  <c r="AI18" i="32"/>
  <c r="B18" i="32"/>
  <c r="C17" i="32"/>
  <c r="F17" i="32"/>
  <c r="G17" i="32"/>
  <c r="H25" i="32" s="1"/>
  <c r="J17" i="32"/>
  <c r="K17" i="32"/>
  <c r="N17" i="32"/>
  <c r="O17" i="32"/>
  <c r="P25" i="32" s="1"/>
  <c r="R17" i="32"/>
  <c r="S17" i="32"/>
  <c r="V17" i="32"/>
  <c r="W17" i="32"/>
  <c r="X25" i="32" s="1"/>
  <c r="Z17" i="32"/>
  <c r="AA17" i="32"/>
  <c r="AD17" i="32"/>
  <c r="AE17" i="32"/>
  <c r="AF25" i="32" s="1"/>
  <c r="AH17" i="32"/>
  <c r="AI17" i="32"/>
  <c r="B17" i="32"/>
  <c r="AJ4" i="32"/>
  <c r="AJ5" i="32"/>
  <c r="AJ6" i="32"/>
  <c r="AJ7" i="32"/>
  <c r="AJ8" i="32"/>
  <c r="AJ9" i="32"/>
  <c r="AJ10" i="32"/>
  <c r="AJ11" i="32"/>
  <c r="AJ12" i="32"/>
  <c r="AJ13" i="32"/>
  <c r="AJ14" i="32"/>
  <c r="AJ15" i="32"/>
  <c r="AF4" i="32"/>
  <c r="AF5" i="32"/>
  <c r="AF6" i="32"/>
  <c r="AF7" i="32"/>
  <c r="AF8" i="32"/>
  <c r="AF9" i="32"/>
  <c r="AF10" i="32"/>
  <c r="AF11" i="32"/>
  <c r="AF12" i="32"/>
  <c r="AF13" i="32"/>
  <c r="AF14" i="32"/>
  <c r="AF15" i="32"/>
  <c r="AB4" i="32"/>
  <c r="AB5" i="32"/>
  <c r="AB6" i="32"/>
  <c r="AB7" i="32"/>
  <c r="AB8" i="32"/>
  <c r="AB9" i="32"/>
  <c r="AB10" i="32"/>
  <c r="AB11" i="32"/>
  <c r="AB12" i="32"/>
  <c r="AB13" i="32"/>
  <c r="AB14" i="32"/>
  <c r="AB15" i="32"/>
  <c r="X4" i="32"/>
  <c r="X5" i="32"/>
  <c r="X6" i="32"/>
  <c r="X7" i="32"/>
  <c r="X8" i="32"/>
  <c r="X9" i="32"/>
  <c r="X10" i="32"/>
  <c r="X11" i="32"/>
  <c r="X12" i="32"/>
  <c r="X13" i="32"/>
  <c r="X14" i="32"/>
  <c r="X15" i="32"/>
  <c r="T4" i="32"/>
  <c r="T5" i="32"/>
  <c r="T6" i="32"/>
  <c r="T7" i="32"/>
  <c r="T8" i="32"/>
  <c r="T9" i="32"/>
  <c r="T10" i="32"/>
  <c r="T11" i="32"/>
  <c r="T12" i="32"/>
  <c r="T13" i="32"/>
  <c r="T14" i="32"/>
  <c r="T15" i="32"/>
  <c r="P4" i="32"/>
  <c r="P5" i="32"/>
  <c r="P6" i="32"/>
  <c r="P7" i="32"/>
  <c r="P8" i="32"/>
  <c r="P9" i="32"/>
  <c r="P10" i="32"/>
  <c r="P11" i="32"/>
  <c r="P12" i="32"/>
  <c r="P13" i="32"/>
  <c r="P14" i="32"/>
  <c r="P15" i="32"/>
  <c r="L4" i="32"/>
  <c r="L5" i="32"/>
  <c r="L6" i="32"/>
  <c r="L7" i="32"/>
  <c r="L8" i="32"/>
  <c r="L9" i="32"/>
  <c r="L10" i="32"/>
  <c r="L11" i="32"/>
  <c r="L12" i="32"/>
  <c r="L13" i="32"/>
  <c r="L14" i="32"/>
  <c r="L15" i="32"/>
  <c r="AJ3" i="32"/>
  <c r="AF3" i="32"/>
  <c r="AB3" i="32"/>
  <c r="X3" i="32"/>
  <c r="T3" i="32"/>
  <c r="P3" i="32"/>
  <c r="L3" i="32"/>
  <c r="H4" i="32"/>
  <c r="H5" i="32"/>
  <c r="H6" i="32"/>
  <c r="H7" i="32"/>
  <c r="H8" i="32"/>
  <c r="H9" i="32"/>
  <c r="H10" i="32"/>
  <c r="H11" i="32"/>
  <c r="H12" i="32"/>
  <c r="H13" i="32"/>
  <c r="H14" i="32"/>
  <c r="H15" i="32"/>
  <c r="H3" i="32"/>
  <c r="D4" i="32"/>
  <c r="D5" i="32"/>
  <c r="D6" i="32"/>
  <c r="D7" i="32"/>
  <c r="D8" i="32"/>
  <c r="D9" i="32"/>
  <c r="D10" i="32"/>
  <c r="D11" i="32"/>
  <c r="D12" i="32"/>
  <c r="D13" i="32"/>
  <c r="D14" i="32"/>
  <c r="D15" i="32"/>
  <c r="D3" i="32"/>
  <c r="AM26" i="31" l="1"/>
  <c r="AB25" i="32"/>
  <c r="AB26" i="31"/>
  <c r="AJ25" i="32"/>
  <c r="AN9" i="32"/>
  <c r="L25" i="32"/>
  <c r="AJ26" i="31"/>
  <c r="D25" i="32"/>
  <c r="T25" i="32"/>
  <c r="AQ26" i="31"/>
  <c r="S26" i="31"/>
  <c r="AB17" i="32"/>
  <c r="AJ17" i="32"/>
  <c r="D18" i="32"/>
  <c r="AF17" i="32"/>
  <c r="L18" i="32"/>
  <c r="T17" i="32"/>
  <c r="AF18" i="32"/>
  <c r="H17" i="32"/>
  <c r="P18" i="32"/>
  <c r="X18" i="32"/>
  <c r="AJ18" i="32"/>
  <c r="AB18" i="32"/>
  <c r="P17" i="32"/>
  <c r="T18" i="32"/>
  <c r="D17" i="32"/>
  <c r="H18" i="32"/>
  <c r="X17" i="32"/>
  <c r="L17" i="32"/>
  <c r="T3" i="31"/>
  <c r="T4" i="31"/>
  <c r="T5" i="31"/>
  <c r="T6" i="31"/>
  <c r="T7" i="31"/>
  <c r="T8" i="31"/>
  <c r="T9" i="31"/>
  <c r="T10" i="31"/>
  <c r="T11" i="31"/>
  <c r="T12" i="31"/>
  <c r="T13" i="31"/>
  <c r="T14" i="31"/>
  <c r="T15" i="31"/>
  <c r="T2" i="31"/>
  <c r="P3" i="31"/>
  <c r="P4" i="31"/>
  <c r="P5" i="31"/>
  <c r="P6" i="31"/>
  <c r="P7" i="31"/>
  <c r="P8" i="31"/>
  <c r="P9" i="31"/>
  <c r="P10" i="31"/>
  <c r="P11" i="31"/>
  <c r="P12" i="31"/>
  <c r="P13" i="31"/>
  <c r="P14" i="31"/>
  <c r="P15" i="31"/>
  <c r="P2" i="31"/>
  <c r="P18" i="31" l="1"/>
  <c r="P17" i="31"/>
  <c r="T17" i="31"/>
  <c r="T18" i="31"/>
  <c r="B18" i="31"/>
  <c r="B17" i="31"/>
  <c r="D26" i="31" s="1"/>
  <c r="D4" i="31"/>
  <c r="D3" i="31"/>
  <c r="D5" i="31"/>
  <c r="D9" i="31"/>
  <c r="D10" i="31"/>
  <c r="D13" i="31"/>
  <c r="D2" i="31"/>
  <c r="AR15" i="31"/>
  <c r="AR14" i="31"/>
  <c r="AR13" i="31"/>
  <c r="AR12" i="31"/>
  <c r="AR11" i="31"/>
  <c r="AR10" i="31"/>
  <c r="AR9" i="31"/>
  <c r="AR8" i="31"/>
  <c r="AR7" i="31"/>
  <c r="AR6" i="31"/>
  <c r="AR5" i="31"/>
  <c r="AR4" i="31"/>
  <c r="AR3" i="31"/>
  <c r="AR2" i="31"/>
  <c r="X15" i="31"/>
  <c r="X14" i="31"/>
  <c r="X13" i="31"/>
  <c r="X12" i="31"/>
  <c r="X11" i="31"/>
  <c r="X10" i="31"/>
  <c r="X9" i="31"/>
  <c r="X8" i="31"/>
  <c r="X7" i="31"/>
  <c r="X6" i="31"/>
  <c r="X5" i="31"/>
  <c r="X4" i="31"/>
  <c r="X3" i="31"/>
  <c r="X2" i="31"/>
  <c r="L15" i="31"/>
  <c r="L14" i="31"/>
  <c r="L13" i="31"/>
  <c r="L12" i="31"/>
  <c r="L11" i="31"/>
  <c r="L10" i="31"/>
  <c r="L9" i="31"/>
  <c r="L8" i="31"/>
  <c r="L7" i="31"/>
  <c r="L6" i="31"/>
  <c r="L5" i="31"/>
  <c r="L4" i="31"/>
  <c r="L3" i="31"/>
  <c r="L2" i="31"/>
  <c r="AF15" i="31"/>
  <c r="AF14" i="31"/>
  <c r="AF13" i="31"/>
  <c r="AF12" i="31"/>
  <c r="AF11" i="31"/>
  <c r="AF10" i="31"/>
  <c r="AF9" i="31"/>
  <c r="AF8" i="31"/>
  <c r="AF7" i="31"/>
  <c r="AF6" i="31"/>
  <c r="AF5" i="31"/>
  <c r="AF4" i="31"/>
  <c r="AF3" i="31"/>
  <c r="AF2" i="31"/>
  <c r="AN15" i="31"/>
  <c r="AN14" i="31"/>
  <c r="AN13" i="31"/>
  <c r="AN12" i="31"/>
  <c r="AN11" i="31"/>
  <c r="AN10" i="31"/>
  <c r="AN9" i="31"/>
  <c r="AN8" i="31"/>
  <c r="AN7" i="31"/>
  <c r="AN6" i="31"/>
  <c r="AN5" i="31"/>
  <c r="AN4" i="31"/>
  <c r="AN3" i="31"/>
  <c r="AN2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2" i="31"/>
  <c r="AB15" i="31"/>
  <c r="AB14" i="31"/>
  <c r="AB13" i="31"/>
  <c r="AB12" i="31"/>
  <c r="AB11" i="31"/>
  <c r="AB10" i="31"/>
  <c r="AB9" i="31"/>
  <c r="AB8" i="31"/>
  <c r="AB7" i="31"/>
  <c r="AB6" i="31"/>
  <c r="AB5" i="31"/>
  <c r="AB4" i="31"/>
  <c r="AB3" i="31"/>
  <c r="AB2" i="31"/>
  <c r="AJ15" i="31"/>
  <c r="AJ14" i="31"/>
  <c r="AJ13" i="31"/>
  <c r="AJ12" i="31"/>
  <c r="AJ11" i="31"/>
  <c r="AJ10" i="31"/>
  <c r="AJ9" i="31"/>
  <c r="AJ8" i="31"/>
  <c r="AJ7" i="31"/>
  <c r="AJ6" i="31"/>
  <c r="AJ5" i="31"/>
  <c r="AJ4" i="31"/>
  <c r="AJ3" i="31"/>
  <c r="AJ2" i="31"/>
  <c r="D15" i="31"/>
  <c r="D14" i="31"/>
  <c r="D12" i="31"/>
  <c r="D11" i="31"/>
  <c r="D8" i="31"/>
  <c r="D7" i="31"/>
  <c r="D6" i="31"/>
  <c r="AJ17" i="31" l="1"/>
  <c r="AJ18" i="31"/>
  <c r="AF18" i="31"/>
  <c r="AF17" i="31"/>
  <c r="D18" i="31"/>
  <c r="D17" i="31"/>
  <c r="AB18" i="31"/>
  <c r="AB17" i="31"/>
  <c r="AN18" i="31"/>
  <c r="AN17" i="31"/>
  <c r="AR18" i="31"/>
  <c r="AR17" i="31"/>
  <c r="L17" i="31"/>
  <c r="L18" i="31"/>
  <c r="X17" i="31"/>
  <c r="X18" i="31"/>
  <c r="H17" i="31"/>
  <c r="H18" i="31"/>
  <c r="C18" i="30"/>
  <c r="F18" i="30"/>
  <c r="G18" i="30"/>
  <c r="J18" i="30"/>
  <c r="K18" i="30"/>
  <c r="N18" i="30"/>
  <c r="O18" i="30"/>
  <c r="R18" i="30"/>
  <c r="S18" i="30"/>
  <c r="V18" i="30"/>
  <c r="W18" i="30"/>
  <c r="Z18" i="30"/>
  <c r="AA18" i="30"/>
  <c r="AD18" i="30"/>
  <c r="AE18" i="30"/>
  <c r="C17" i="30"/>
  <c r="F17" i="30"/>
  <c r="G17" i="30"/>
  <c r="J17" i="30"/>
  <c r="K17" i="30"/>
  <c r="N17" i="30"/>
  <c r="O17" i="30"/>
  <c r="R17" i="30"/>
  <c r="S17" i="30"/>
  <c r="V17" i="30"/>
  <c r="W17" i="30"/>
  <c r="Z17" i="30"/>
  <c r="AA17" i="30"/>
  <c r="AD17" i="30"/>
  <c r="AE17" i="30"/>
  <c r="B18" i="30"/>
  <c r="B17" i="30"/>
  <c r="C18" i="29"/>
  <c r="F18" i="29"/>
  <c r="G18" i="29"/>
  <c r="J18" i="29"/>
  <c r="K18" i="29"/>
  <c r="N18" i="29"/>
  <c r="O18" i="29"/>
  <c r="R18" i="29"/>
  <c r="S18" i="29"/>
  <c r="V18" i="29"/>
  <c r="W18" i="29"/>
  <c r="Z18" i="29"/>
  <c r="AA18" i="29"/>
  <c r="AD18" i="29"/>
  <c r="AE18" i="29"/>
  <c r="C17" i="29"/>
  <c r="F17" i="29"/>
  <c r="G17" i="29"/>
  <c r="J17" i="29"/>
  <c r="K17" i="29"/>
  <c r="N17" i="29"/>
  <c r="O17" i="29"/>
  <c r="R17" i="29"/>
  <c r="S17" i="29"/>
  <c r="V17" i="29"/>
  <c r="W17" i="29"/>
  <c r="Z17" i="29"/>
  <c r="AA17" i="29"/>
  <c r="AD17" i="29"/>
  <c r="AE17" i="29"/>
  <c r="B18" i="29"/>
  <c r="B17" i="29"/>
  <c r="Z18" i="28"/>
  <c r="AA18" i="28"/>
  <c r="AD18" i="28"/>
  <c r="AE18" i="28"/>
  <c r="AA17" i="28"/>
  <c r="AD17" i="28"/>
  <c r="AE17" i="28"/>
  <c r="C18" i="28"/>
  <c r="F18" i="28"/>
  <c r="G18" i="28"/>
  <c r="J18" i="28"/>
  <c r="K18" i="28"/>
  <c r="N18" i="28"/>
  <c r="O18" i="28"/>
  <c r="R18" i="28"/>
  <c r="S18" i="28"/>
  <c r="V18" i="28"/>
  <c r="W18" i="28"/>
  <c r="C17" i="28"/>
  <c r="F17" i="28"/>
  <c r="G17" i="28"/>
  <c r="J17" i="28"/>
  <c r="K17" i="28"/>
  <c r="N17" i="28"/>
  <c r="O17" i="28"/>
  <c r="R17" i="28"/>
  <c r="S17" i="28"/>
  <c r="V17" i="28"/>
  <c r="W17" i="28"/>
  <c r="B18" i="28"/>
  <c r="B17" i="28"/>
  <c r="C18" i="13"/>
  <c r="F18" i="13"/>
  <c r="G18" i="13"/>
  <c r="J18" i="13"/>
  <c r="K18" i="13"/>
  <c r="N18" i="13"/>
  <c r="O18" i="13"/>
  <c r="R18" i="13"/>
  <c r="S18" i="13"/>
  <c r="V18" i="13"/>
  <c r="W18" i="13"/>
  <c r="B18" i="13"/>
  <c r="B17" i="13"/>
  <c r="C17" i="13"/>
  <c r="D24" i="13" s="1"/>
  <c r="F17" i="13"/>
  <c r="G17" i="13"/>
  <c r="H24" i="13" s="1"/>
  <c r="J17" i="13"/>
  <c r="K17" i="13"/>
  <c r="L24" i="13" s="1"/>
  <c r="N17" i="13"/>
  <c r="O17" i="13"/>
  <c r="R17" i="13"/>
  <c r="S17" i="13"/>
  <c r="T24" i="13" s="1"/>
  <c r="V17" i="13"/>
  <c r="W17" i="13"/>
  <c r="C18" i="12"/>
  <c r="F18" i="12"/>
  <c r="G18" i="12"/>
  <c r="J18" i="12"/>
  <c r="K18" i="12"/>
  <c r="N18" i="12"/>
  <c r="O18" i="12"/>
  <c r="C17" i="12"/>
  <c r="F17" i="12"/>
  <c r="G17" i="12"/>
  <c r="H25" i="12" s="1"/>
  <c r="J17" i="12"/>
  <c r="K17" i="12"/>
  <c r="N17" i="12"/>
  <c r="O17" i="12"/>
  <c r="P25" i="12" s="1"/>
  <c r="B18" i="12"/>
  <c r="B17" i="12"/>
  <c r="P15" i="12"/>
  <c r="L15" i="12"/>
  <c r="H15" i="12"/>
  <c r="P14" i="12"/>
  <c r="L14" i="12"/>
  <c r="H14" i="12"/>
  <c r="P13" i="12"/>
  <c r="L13" i="12"/>
  <c r="H13" i="12"/>
  <c r="P12" i="12"/>
  <c r="L12" i="12"/>
  <c r="H12" i="12"/>
  <c r="P11" i="12"/>
  <c r="L11" i="12"/>
  <c r="H11" i="12"/>
  <c r="P10" i="12"/>
  <c r="L10" i="12"/>
  <c r="H10" i="12"/>
  <c r="P9" i="12"/>
  <c r="L9" i="12"/>
  <c r="H9" i="12"/>
  <c r="P8" i="12"/>
  <c r="L8" i="12"/>
  <c r="H8" i="12"/>
  <c r="P7" i="12"/>
  <c r="L7" i="12"/>
  <c r="H7" i="12"/>
  <c r="P6" i="12"/>
  <c r="L6" i="12"/>
  <c r="H6" i="12"/>
  <c r="P5" i="12"/>
  <c r="L5" i="12"/>
  <c r="H5" i="12"/>
  <c r="P4" i="12"/>
  <c r="L4" i="12"/>
  <c r="H4" i="12"/>
  <c r="P3" i="12"/>
  <c r="L3" i="12"/>
  <c r="H3" i="12"/>
  <c r="P2" i="12"/>
  <c r="L2" i="12"/>
  <c r="H2" i="12"/>
  <c r="L25" i="12" l="1"/>
  <c r="X24" i="13"/>
  <c r="D25" i="12"/>
  <c r="P24" i="13"/>
  <c r="L17" i="12"/>
  <c r="H17" i="12"/>
  <c r="P17" i="12"/>
  <c r="H18" i="12"/>
  <c r="L18" i="12"/>
  <c r="P18" i="12"/>
  <c r="N18" i="18"/>
  <c r="O18" i="18"/>
  <c r="M18" i="18"/>
  <c r="N17" i="18"/>
  <c r="O17" i="18"/>
  <c r="M17" i="18"/>
  <c r="L18" i="19"/>
  <c r="M18" i="19"/>
  <c r="K18" i="19"/>
  <c r="M17" i="19"/>
  <c r="L17" i="19"/>
  <c r="K17" i="19"/>
  <c r="C18" i="23"/>
  <c r="F18" i="23"/>
  <c r="G18" i="23"/>
  <c r="B18" i="23"/>
  <c r="C17" i="23"/>
  <c r="F17" i="23"/>
  <c r="G17" i="23"/>
  <c r="B17" i="23"/>
  <c r="K18" i="27"/>
  <c r="L18" i="27"/>
  <c r="O18" i="27"/>
  <c r="K17" i="27"/>
  <c r="L17" i="27"/>
  <c r="O17" i="27"/>
  <c r="D18" i="26"/>
  <c r="O18" i="26"/>
  <c r="P18" i="26"/>
  <c r="S18" i="26"/>
  <c r="T18" i="26"/>
  <c r="X18" i="26"/>
  <c r="Z18" i="26"/>
  <c r="C18" i="26"/>
  <c r="D17" i="26"/>
  <c r="E24" i="26" s="1"/>
  <c r="O17" i="26"/>
  <c r="P17" i="26"/>
  <c r="S17" i="26"/>
  <c r="T17" i="26"/>
  <c r="X17" i="26"/>
  <c r="Z17" i="26"/>
  <c r="Z25" i="26" s="1"/>
  <c r="C17" i="26"/>
  <c r="K3" i="1"/>
  <c r="K4" i="1"/>
  <c r="K5" i="1"/>
  <c r="K6" i="1"/>
  <c r="K7" i="1"/>
  <c r="K8" i="1"/>
  <c r="K9" i="1"/>
  <c r="K10" i="1"/>
  <c r="K11" i="1"/>
  <c r="K12" i="1"/>
  <c r="K13" i="1"/>
  <c r="K14" i="1"/>
  <c r="K15" i="1"/>
  <c r="K2" i="1"/>
  <c r="E18" i="1"/>
  <c r="D18" i="1"/>
  <c r="E17" i="1"/>
  <c r="D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F2" i="1"/>
  <c r="I2" i="1"/>
  <c r="K17" i="1" l="1"/>
  <c r="K18" i="1"/>
  <c r="I17" i="1"/>
  <c r="T24" i="26"/>
  <c r="L3" i="1"/>
  <c r="L4" i="1"/>
  <c r="L15" i="1"/>
  <c r="L7" i="1"/>
  <c r="L14" i="1"/>
  <c r="L6" i="1"/>
  <c r="L13" i="1"/>
  <c r="L5" i="1"/>
  <c r="I18" i="1"/>
  <c r="L12" i="1"/>
  <c r="F17" i="1"/>
  <c r="L11" i="1"/>
  <c r="F18" i="1"/>
  <c r="L10" i="1"/>
  <c r="L9" i="1"/>
  <c r="L2" i="1"/>
  <c r="L8" i="1"/>
  <c r="H18" i="25"/>
  <c r="H17" i="25"/>
  <c r="G18" i="25"/>
  <c r="G17" i="25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N17" i="1"/>
  <c r="O17" i="1"/>
  <c r="N18" i="1"/>
  <c r="O18" i="1"/>
  <c r="I21" i="1" l="1"/>
  <c r="J21" i="1" s="1"/>
  <c r="L18" i="1"/>
  <c r="L17" i="1"/>
  <c r="P17" i="1"/>
  <c r="P18" i="1"/>
  <c r="X15" i="29" l="1"/>
  <c r="U3" i="26" l="1"/>
  <c r="U4" i="26"/>
  <c r="U5" i="26"/>
  <c r="U6" i="26"/>
  <c r="U7" i="26"/>
  <c r="U8" i="26"/>
  <c r="U9" i="26"/>
  <c r="U10" i="26"/>
  <c r="U11" i="26"/>
  <c r="U12" i="26"/>
  <c r="U13" i="26"/>
  <c r="U14" i="26"/>
  <c r="U15" i="26"/>
  <c r="U2" i="26"/>
  <c r="U18" i="26" l="1"/>
  <c r="U17" i="26"/>
  <c r="AB4" i="26"/>
  <c r="AB5" i="26"/>
  <c r="AB6" i="26"/>
  <c r="AB7" i="26"/>
  <c r="AB8" i="26"/>
  <c r="AB9" i="26"/>
  <c r="AB10" i="26"/>
  <c r="AB11" i="26"/>
  <c r="AB12" i="26"/>
  <c r="AB13" i="26"/>
  <c r="AB14" i="26"/>
  <c r="AB15" i="26"/>
  <c r="AB3" i="26"/>
  <c r="AB18" i="26" l="1"/>
  <c r="AB17" i="26"/>
  <c r="P5" i="18"/>
  <c r="P15" i="18"/>
  <c r="P14" i="18"/>
  <c r="P13" i="18"/>
  <c r="P12" i="18"/>
  <c r="P11" i="18"/>
  <c r="P10" i="18"/>
  <c r="P9" i="18"/>
  <c r="P8" i="18"/>
  <c r="P7" i="18"/>
  <c r="P6" i="18"/>
  <c r="P4" i="18"/>
  <c r="P3" i="18"/>
  <c r="P2" i="18"/>
  <c r="P17" i="18" l="1"/>
  <c r="P18" i="18"/>
  <c r="M15" i="27"/>
  <c r="M14" i="27"/>
  <c r="M13" i="27"/>
  <c r="E15" i="6"/>
  <c r="E14" i="6"/>
  <c r="E13" i="6"/>
  <c r="Q15" i="26"/>
  <c r="Q14" i="26"/>
  <c r="Q13" i="26"/>
  <c r="I15" i="25"/>
  <c r="I14" i="25"/>
  <c r="I13" i="25"/>
  <c r="E15" i="25"/>
  <c r="K12" i="18" l="1"/>
  <c r="K13" i="18"/>
  <c r="K14" i="18"/>
  <c r="K15" i="18"/>
  <c r="F3" i="18"/>
  <c r="F4" i="18"/>
  <c r="F6" i="18"/>
  <c r="F7" i="18"/>
  <c r="F8" i="18"/>
  <c r="F9" i="18"/>
  <c r="F10" i="18"/>
  <c r="F11" i="18"/>
  <c r="F12" i="18"/>
  <c r="F13" i="18"/>
  <c r="F14" i="18"/>
  <c r="F15" i="18"/>
  <c r="F2" i="18"/>
  <c r="AF15" i="30" l="1"/>
  <c r="AB15" i="30"/>
  <c r="X15" i="30"/>
  <c r="T15" i="30"/>
  <c r="P15" i="30"/>
  <c r="L15" i="30"/>
  <c r="H15" i="30"/>
  <c r="D15" i="30"/>
  <c r="AF14" i="30"/>
  <c r="AB14" i="30"/>
  <c r="X14" i="30"/>
  <c r="T14" i="30"/>
  <c r="P14" i="30"/>
  <c r="L14" i="30"/>
  <c r="H14" i="30"/>
  <c r="D14" i="30"/>
  <c r="AF13" i="30"/>
  <c r="AB13" i="30"/>
  <c r="X13" i="30"/>
  <c r="T13" i="30"/>
  <c r="P13" i="30"/>
  <c r="L13" i="30"/>
  <c r="H13" i="30"/>
  <c r="D13" i="30"/>
  <c r="AF12" i="30"/>
  <c r="AB12" i="30"/>
  <c r="X12" i="30"/>
  <c r="T12" i="30"/>
  <c r="P12" i="30"/>
  <c r="L12" i="30"/>
  <c r="H12" i="30"/>
  <c r="D12" i="30"/>
  <c r="AF11" i="30"/>
  <c r="AB11" i="30"/>
  <c r="X11" i="30"/>
  <c r="T11" i="30"/>
  <c r="P11" i="30"/>
  <c r="L11" i="30"/>
  <c r="H11" i="30"/>
  <c r="D11" i="30"/>
  <c r="AF11" i="29"/>
  <c r="AB11" i="29"/>
  <c r="X11" i="29"/>
  <c r="T11" i="29"/>
  <c r="P11" i="29"/>
  <c r="L11" i="29"/>
  <c r="H11" i="29"/>
  <c r="D11" i="29"/>
  <c r="AF15" i="29"/>
  <c r="AB15" i="29"/>
  <c r="T15" i="29"/>
  <c r="P15" i="29"/>
  <c r="L15" i="29"/>
  <c r="H15" i="29"/>
  <c r="D15" i="29"/>
  <c r="AF14" i="29"/>
  <c r="AB14" i="29"/>
  <c r="X14" i="29"/>
  <c r="T14" i="29"/>
  <c r="P14" i="29"/>
  <c r="L14" i="29"/>
  <c r="H14" i="29"/>
  <c r="D14" i="29"/>
  <c r="AF13" i="29"/>
  <c r="AB13" i="29"/>
  <c r="X13" i="29"/>
  <c r="T13" i="29"/>
  <c r="P13" i="29"/>
  <c r="L13" i="29"/>
  <c r="H13" i="29"/>
  <c r="D13" i="29"/>
  <c r="AF11" i="28"/>
  <c r="AB11" i="28"/>
  <c r="X11" i="28"/>
  <c r="T11" i="28"/>
  <c r="P11" i="28"/>
  <c r="L11" i="28"/>
  <c r="H11" i="28"/>
  <c r="D11" i="28"/>
  <c r="AF15" i="28"/>
  <c r="AB15" i="28"/>
  <c r="X15" i="28"/>
  <c r="T15" i="28"/>
  <c r="P15" i="28"/>
  <c r="L15" i="28"/>
  <c r="H15" i="28"/>
  <c r="D15" i="28"/>
  <c r="AF14" i="28"/>
  <c r="AB14" i="28"/>
  <c r="X14" i="28"/>
  <c r="T14" i="28"/>
  <c r="P14" i="28"/>
  <c r="L14" i="28"/>
  <c r="H14" i="28"/>
  <c r="D14" i="28"/>
  <c r="AF13" i="28"/>
  <c r="AB13" i="28"/>
  <c r="X13" i="28"/>
  <c r="T13" i="28"/>
  <c r="P13" i="28"/>
  <c r="L13" i="28"/>
  <c r="H13" i="28"/>
  <c r="D13" i="28"/>
  <c r="X15" i="13"/>
  <c r="T15" i="13"/>
  <c r="P15" i="13"/>
  <c r="L15" i="13"/>
  <c r="H15" i="13"/>
  <c r="D15" i="13"/>
  <c r="X14" i="13"/>
  <c r="T14" i="13"/>
  <c r="P14" i="13"/>
  <c r="L14" i="13"/>
  <c r="H14" i="13"/>
  <c r="D14" i="13"/>
  <c r="X13" i="13"/>
  <c r="T13" i="13"/>
  <c r="P13" i="13"/>
  <c r="L13" i="13"/>
  <c r="H13" i="13"/>
  <c r="D13" i="13"/>
  <c r="P14" i="27" l="1"/>
  <c r="Q14" i="27" s="1"/>
  <c r="H3" i="23"/>
  <c r="H4" i="23"/>
  <c r="H5" i="23"/>
  <c r="H6" i="23"/>
  <c r="H7" i="23"/>
  <c r="H8" i="23"/>
  <c r="H9" i="23"/>
  <c r="H10" i="23"/>
  <c r="H11" i="23"/>
  <c r="H12" i="23"/>
  <c r="H13" i="23"/>
  <c r="H14" i="23"/>
  <c r="H15" i="23"/>
  <c r="H2" i="23"/>
  <c r="D3" i="23"/>
  <c r="D4" i="23"/>
  <c r="D5" i="23"/>
  <c r="D6" i="23"/>
  <c r="D7" i="23"/>
  <c r="D8" i="23"/>
  <c r="D9" i="23"/>
  <c r="D10" i="23"/>
  <c r="D12" i="23"/>
  <c r="D13" i="23"/>
  <c r="D14" i="23"/>
  <c r="D15" i="23"/>
  <c r="D2" i="23"/>
  <c r="P13" i="27"/>
  <c r="Q13" i="27" s="1"/>
  <c r="P15" i="27"/>
  <c r="Q15" i="27" s="1"/>
  <c r="H17" i="23" l="1"/>
  <c r="H18" i="23"/>
  <c r="D17" i="23"/>
  <c r="D18" i="23"/>
  <c r="E12" i="6"/>
  <c r="E11" i="6"/>
  <c r="E10" i="6"/>
  <c r="E9" i="6"/>
  <c r="Q9" i="26"/>
  <c r="Q10" i="26"/>
  <c r="Q11" i="26"/>
  <c r="Q12" i="26"/>
  <c r="K10" i="18" l="1"/>
  <c r="K11" i="18"/>
  <c r="K9" i="18"/>
  <c r="AF10" i="30" l="1"/>
  <c r="AB10" i="30"/>
  <c r="X10" i="30"/>
  <c r="T10" i="30"/>
  <c r="P10" i="30"/>
  <c r="L10" i="30"/>
  <c r="H10" i="30"/>
  <c r="D10" i="30"/>
  <c r="AF9" i="30"/>
  <c r="AB9" i="30"/>
  <c r="X9" i="30"/>
  <c r="T9" i="30"/>
  <c r="P9" i="30"/>
  <c r="L9" i="30"/>
  <c r="H9" i="30"/>
  <c r="D9" i="30"/>
  <c r="AF8" i="30"/>
  <c r="AB8" i="30"/>
  <c r="X8" i="30"/>
  <c r="T8" i="30"/>
  <c r="P8" i="30"/>
  <c r="L8" i="30"/>
  <c r="H8" i="30"/>
  <c r="D8" i="30"/>
  <c r="AF7" i="30"/>
  <c r="AB7" i="30"/>
  <c r="X7" i="30"/>
  <c r="T7" i="30"/>
  <c r="P7" i="30"/>
  <c r="L7" i="30"/>
  <c r="H7" i="30"/>
  <c r="D7" i="30"/>
  <c r="AF6" i="30"/>
  <c r="AB6" i="30"/>
  <c r="X6" i="30"/>
  <c r="T6" i="30"/>
  <c r="P6" i="30"/>
  <c r="L6" i="30"/>
  <c r="H6" i="30"/>
  <c r="D6" i="30"/>
  <c r="AF5" i="30"/>
  <c r="AB5" i="30"/>
  <c r="X5" i="30"/>
  <c r="T5" i="30"/>
  <c r="P5" i="30"/>
  <c r="L5" i="30"/>
  <c r="H5" i="30"/>
  <c r="D5" i="30"/>
  <c r="AF4" i="30"/>
  <c r="AB4" i="30"/>
  <c r="X4" i="30"/>
  <c r="T4" i="30"/>
  <c r="P4" i="30"/>
  <c r="L4" i="30"/>
  <c r="H4" i="30"/>
  <c r="D4" i="30"/>
  <c r="AF3" i="30"/>
  <c r="AB3" i="30"/>
  <c r="X3" i="30"/>
  <c r="T3" i="30"/>
  <c r="P3" i="30"/>
  <c r="L3" i="30"/>
  <c r="H3" i="30"/>
  <c r="D3" i="30"/>
  <c r="AF2" i="30"/>
  <c r="AB2" i="30"/>
  <c r="X2" i="30"/>
  <c r="T2" i="30"/>
  <c r="P2" i="30"/>
  <c r="L2" i="30"/>
  <c r="H2" i="30"/>
  <c r="D2" i="30"/>
  <c r="AF12" i="29"/>
  <c r="AB12" i="29"/>
  <c r="X12" i="29"/>
  <c r="T12" i="29"/>
  <c r="P12" i="29"/>
  <c r="L12" i="29"/>
  <c r="H12" i="29"/>
  <c r="D12" i="29"/>
  <c r="AF10" i="29"/>
  <c r="AB10" i="29"/>
  <c r="X10" i="29"/>
  <c r="T10" i="29"/>
  <c r="P10" i="29"/>
  <c r="L10" i="29"/>
  <c r="H10" i="29"/>
  <c r="D10" i="29"/>
  <c r="AF9" i="29"/>
  <c r="AB9" i="29"/>
  <c r="X9" i="29"/>
  <c r="T9" i="29"/>
  <c r="P9" i="29"/>
  <c r="L9" i="29"/>
  <c r="H9" i="29"/>
  <c r="D9" i="29"/>
  <c r="AF8" i="29"/>
  <c r="AB8" i="29"/>
  <c r="X8" i="29"/>
  <c r="T8" i="29"/>
  <c r="P8" i="29"/>
  <c r="L8" i="29"/>
  <c r="H8" i="29"/>
  <c r="D8" i="29"/>
  <c r="AF7" i="29"/>
  <c r="AB7" i="29"/>
  <c r="X7" i="29"/>
  <c r="T7" i="29"/>
  <c r="P7" i="29"/>
  <c r="L7" i="29"/>
  <c r="H7" i="29"/>
  <c r="D7" i="29"/>
  <c r="AF6" i="29"/>
  <c r="AB6" i="29"/>
  <c r="X6" i="29"/>
  <c r="T6" i="29"/>
  <c r="P6" i="29"/>
  <c r="L6" i="29"/>
  <c r="H6" i="29"/>
  <c r="D6" i="29"/>
  <c r="AF5" i="29"/>
  <c r="AB5" i="29"/>
  <c r="X5" i="29"/>
  <c r="T5" i="29"/>
  <c r="P5" i="29"/>
  <c r="L5" i="29"/>
  <c r="H5" i="29"/>
  <c r="D5" i="29"/>
  <c r="AF4" i="29"/>
  <c r="AB4" i="29"/>
  <c r="X4" i="29"/>
  <c r="T4" i="29"/>
  <c r="P4" i="29"/>
  <c r="L4" i="29"/>
  <c r="H4" i="29"/>
  <c r="D4" i="29"/>
  <c r="AF3" i="29"/>
  <c r="AB3" i="29"/>
  <c r="X3" i="29"/>
  <c r="T3" i="29"/>
  <c r="P3" i="29"/>
  <c r="L3" i="29"/>
  <c r="H3" i="29"/>
  <c r="D3" i="29"/>
  <c r="AF2" i="29"/>
  <c r="AB2" i="29"/>
  <c r="X2" i="29"/>
  <c r="T2" i="29"/>
  <c r="P2" i="29"/>
  <c r="L2" i="29"/>
  <c r="H2" i="29"/>
  <c r="AF12" i="28"/>
  <c r="AB12" i="28"/>
  <c r="X12" i="28"/>
  <c r="T12" i="28"/>
  <c r="P12" i="28"/>
  <c r="L12" i="28"/>
  <c r="H12" i="28"/>
  <c r="D12" i="28"/>
  <c r="AF10" i="28"/>
  <c r="AB10" i="28"/>
  <c r="X10" i="28"/>
  <c r="T10" i="28"/>
  <c r="P10" i="28"/>
  <c r="L10" i="28"/>
  <c r="H10" i="28"/>
  <c r="D10" i="28"/>
  <c r="AF9" i="28"/>
  <c r="AB9" i="28"/>
  <c r="X9" i="28"/>
  <c r="T9" i="28"/>
  <c r="P9" i="28"/>
  <c r="L9" i="28"/>
  <c r="H9" i="28"/>
  <c r="D9" i="28"/>
  <c r="AF8" i="28"/>
  <c r="AB8" i="28"/>
  <c r="X8" i="28"/>
  <c r="T8" i="28"/>
  <c r="P8" i="28"/>
  <c r="L8" i="28"/>
  <c r="H8" i="28"/>
  <c r="D8" i="28"/>
  <c r="AF7" i="28"/>
  <c r="AB7" i="28"/>
  <c r="X7" i="28"/>
  <c r="T7" i="28"/>
  <c r="P7" i="28"/>
  <c r="L7" i="28"/>
  <c r="H7" i="28"/>
  <c r="D7" i="28"/>
  <c r="AF6" i="28"/>
  <c r="AB6" i="28"/>
  <c r="X6" i="28"/>
  <c r="T6" i="28"/>
  <c r="P6" i="28"/>
  <c r="L6" i="28"/>
  <c r="H6" i="28"/>
  <c r="D6" i="28"/>
  <c r="AF5" i="28"/>
  <c r="AB5" i="28"/>
  <c r="X5" i="28"/>
  <c r="T5" i="28"/>
  <c r="P5" i="28"/>
  <c r="L5" i="28"/>
  <c r="H5" i="28"/>
  <c r="D5" i="28"/>
  <c r="AF4" i="28"/>
  <c r="AB4" i="28"/>
  <c r="X4" i="28"/>
  <c r="T4" i="28"/>
  <c r="P4" i="28"/>
  <c r="L4" i="28"/>
  <c r="H4" i="28"/>
  <c r="D4" i="28"/>
  <c r="AF3" i="28"/>
  <c r="AB3" i="28"/>
  <c r="X3" i="28"/>
  <c r="T3" i="28"/>
  <c r="P3" i="28"/>
  <c r="L3" i="28"/>
  <c r="H3" i="28"/>
  <c r="D3" i="28"/>
  <c r="AF2" i="28"/>
  <c r="AB2" i="28"/>
  <c r="X2" i="28"/>
  <c r="T2" i="28"/>
  <c r="T17" i="28" s="1"/>
  <c r="P2" i="28"/>
  <c r="L2" i="28"/>
  <c r="H2" i="28"/>
  <c r="D2" i="28"/>
  <c r="X12" i="13"/>
  <c r="T12" i="13"/>
  <c r="P12" i="13"/>
  <c r="X11" i="13"/>
  <c r="T11" i="13"/>
  <c r="P11" i="13"/>
  <c r="X10" i="13"/>
  <c r="T10" i="13"/>
  <c r="P10" i="13"/>
  <c r="X9" i="13"/>
  <c r="T9" i="13"/>
  <c r="P9" i="13"/>
  <c r="L12" i="13"/>
  <c r="H12" i="13"/>
  <c r="D12" i="13"/>
  <c r="L11" i="13"/>
  <c r="H11" i="13"/>
  <c r="D11" i="13"/>
  <c r="L10" i="13"/>
  <c r="H10" i="13"/>
  <c r="D10" i="13"/>
  <c r="L9" i="13"/>
  <c r="H9" i="13"/>
  <c r="D9" i="13"/>
  <c r="D15" i="12"/>
  <c r="D14" i="12"/>
  <c r="D13" i="12"/>
  <c r="D12" i="12"/>
  <c r="D11" i="12"/>
  <c r="D10" i="12"/>
  <c r="D9" i="12"/>
  <c r="C15" i="27"/>
  <c r="E15" i="27" s="1"/>
  <c r="C14" i="27"/>
  <c r="E14" i="27" s="1"/>
  <c r="C13" i="27"/>
  <c r="E13" i="27" s="1"/>
  <c r="P12" i="27"/>
  <c r="Q12" i="27" s="1"/>
  <c r="M12" i="27"/>
  <c r="D12" i="27"/>
  <c r="C12" i="27"/>
  <c r="P11" i="27"/>
  <c r="Q11" i="27" s="1"/>
  <c r="M11" i="27"/>
  <c r="D11" i="27"/>
  <c r="C11" i="27"/>
  <c r="P10" i="27"/>
  <c r="Q10" i="27" s="1"/>
  <c r="M10" i="27"/>
  <c r="D10" i="27"/>
  <c r="C10" i="27"/>
  <c r="P9" i="27"/>
  <c r="M9" i="27"/>
  <c r="D9" i="27"/>
  <c r="C9" i="27"/>
  <c r="Q8" i="27"/>
  <c r="M8" i="27"/>
  <c r="E8" i="27"/>
  <c r="Q7" i="27"/>
  <c r="M7" i="27"/>
  <c r="E7" i="27"/>
  <c r="Q6" i="27"/>
  <c r="M6" i="27"/>
  <c r="E6" i="27"/>
  <c r="Q5" i="27"/>
  <c r="M5" i="27"/>
  <c r="E5" i="27"/>
  <c r="Q4" i="27"/>
  <c r="M4" i="27"/>
  <c r="E4" i="27"/>
  <c r="Q3" i="27"/>
  <c r="M3" i="27"/>
  <c r="E3" i="27"/>
  <c r="Q2" i="27"/>
  <c r="M2" i="27"/>
  <c r="E2" i="27"/>
  <c r="E14" i="26"/>
  <c r="E13" i="26"/>
  <c r="E12" i="26"/>
  <c r="E11" i="26"/>
  <c r="E10" i="26"/>
  <c r="E9" i="26"/>
  <c r="Q8" i="26"/>
  <c r="E8" i="26"/>
  <c r="Q7" i="26"/>
  <c r="E7" i="26"/>
  <c r="Q6" i="26"/>
  <c r="E6" i="26"/>
  <c r="Q5" i="26"/>
  <c r="E5" i="26"/>
  <c r="Q4" i="26"/>
  <c r="E4" i="26"/>
  <c r="Q3" i="26"/>
  <c r="E3" i="26"/>
  <c r="Q2" i="26"/>
  <c r="E2" i="26"/>
  <c r="C14" i="25"/>
  <c r="E14" i="25" s="1"/>
  <c r="C13" i="25"/>
  <c r="E13" i="25" s="1"/>
  <c r="I12" i="25"/>
  <c r="D12" i="25"/>
  <c r="C12" i="25"/>
  <c r="I11" i="25"/>
  <c r="D11" i="25"/>
  <c r="C11" i="25"/>
  <c r="I10" i="25"/>
  <c r="D10" i="25"/>
  <c r="C10" i="25"/>
  <c r="I9" i="25"/>
  <c r="D9" i="25"/>
  <c r="C9" i="25"/>
  <c r="I8" i="25"/>
  <c r="E8" i="25"/>
  <c r="I7" i="25"/>
  <c r="E7" i="25"/>
  <c r="I6" i="25"/>
  <c r="E6" i="25"/>
  <c r="I5" i="25"/>
  <c r="E5" i="25"/>
  <c r="I4" i="25"/>
  <c r="E4" i="25"/>
  <c r="I3" i="25"/>
  <c r="E3" i="25"/>
  <c r="I2" i="25"/>
  <c r="E2" i="25"/>
  <c r="E26" i="25" l="1"/>
  <c r="E28" i="25"/>
  <c r="F28" i="25"/>
  <c r="F26" i="25"/>
  <c r="F30" i="25" s="1"/>
  <c r="J27" i="25"/>
  <c r="D17" i="30"/>
  <c r="D18" i="30"/>
  <c r="Q17" i="26"/>
  <c r="Q18" i="26"/>
  <c r="P18" i="27"/>
  <c r="P17" i="27"/>
  <c r="H17" i="29"/>
  <c r="H18" i="29"/>
  <c r="H17" i="30"/>
  <c r="H18" i="30"/>
  <c r="D18" i="25"/>
  <c r="D17" i="25"/>
  <c r="P18" i="29"/>
  <c r="P17" i="29"/>
  <c r="P18" i="30"/>
  <c r="P17" i="30"/>
  <c r="L17" i="30"/>
  <c r="L18" i="30"/>
  <c r="T17" i="29"/>
  <c r="T18" i="29"/>
  <c r="T17" i="30"/>
  <c r="T18" i="30"/>
  <c r="E18" i="26"/>
  <c r="E17" i="26"/>
  <c r="X18" i="29"/>
  <c r="X17" i="29"/>
  <c r="X18" i="30"/>
  <c r="X17" i="30"/>
  <c r="D17" i="29"/>
  <c r="D18" i="29"/>
  <c r="C17" i="25"/>
  <c r="C18" i="25"/>
  <c r="M18" i="27"/>
  <c r="M17" i="27"/>
  <c r="L17" i="29"/>
  <c r="L18" i="29"/>
  <c r="C17" i="27"/>
  <c r="C18" i="27"/>
  <c r="AB17" i="29"/>
  <c r="AB18" i="29"/>
  <c r="AB17" i="30"/>
  <c r="AB18" i="30"/>
  <c r="I18" i="25"/>
  <c r="I17" i="25"/>
  <c r="D18" i="27"/>
  <c r="D17" i="27"/>
  <c r="AF17" i="29"/>
  <c r="AF18" i="29"/>
  <c r="AF17" i="30"/>
  <c r="AF18" i="30"/>
  <c r="L18" i="28"/>
  <c r="L17" i="28"/>
  <c r="X18" i="28"/>
  <c r="X17" i="28"/>
  <c r="T18" i="28"/>
  <c r="AB17" i="28"/>
  <c r="AB18" i="28"/>
  <c r="D17" i="28"/>
  <c r="D18" i="28"/>
  <c r="H18" i="28"/>
  <c r="H17" i="28"/>
  <c r="P18" i="28"/>
  <c r="P17" i="28"/>
  <c r="AF17" i="28"/>
  <c r="AF18" i="28"/>
  <c r="Q9" i="27"/>
  <c r="Q17" i="27" s="1"/>
  <c r="E12" i="25"/>
  <c r="E9" i="25"/>
  <c r="E9" i="27"/>
  <c r="E10" i="25"/>
  <c r="E10" i="27"/>
  <c r="E12" i="27"/>
  <c r="E11" i="27"/>
  <c r="E11" i="25"/>
  <c r="F27" i="25" l="1"/>
  <c r="E24" i="27"/>
  <c r="E17" i="27"/>
  <c r="E18" i="25"/>
  <c r="E17" i="25"/>
  <c r="Q18" i="27"/>
  <c r="E18" i="27"/>
  <c r="D18" i="6"/>
  <c r="D17" i="6"/>
  <c r="C18" i="6"/>
  <c r="C17" i="6"/>
  <c r="D25" i="6" l="1"/>
  <c r="X5" i="13"/>
  <c r="X6" i="13"/>
  <c r="X7" i="13"/>
  <c r="X8" i="13"/>
  <c r="K3" i="18" l="1"/>
  <c r="K4" i="18"/>
  <c r="K5" i="18"/>
  <c r="K6" i="18"/>
  <c r="K7" i="18"/>
  <c r="K8" i="18"/>
  <c r="X4" i="13" l="1"/>
  <c r="X3" i="13"/>
  <c r="X2" i="13"/>
  <c r="T8" i="13"/>
  <c r="T7" i="13"/>
  <c r="T6" i="13"/>
  <c r="T5" i="13"/>
  <c r="T4" i="13"/>
  <c r="T3" i="13"/>
  <c r="T2" i="13"/>
  <c r="P8" i="13"/>
  <c r="P7" i="13"/>
  <c r="P6" i="13"/>
  <c r="P5" i="13"/>
  <c r="P4" i="13"/>
  <c r="P3" i="13"/>
  <c r="P2" i="13"/>
  <c r="L8" i="13"/>
  <c r="L7" i="13"/>
  <c r="L6" i="13"/>
  <c r="L5" i="13"/>
  <c r="L4" i="13"/>
  <c r="L3" i="13"/>
  <c r="L2" i="13"/>
  <c r="H8" i="13"/>
  <c r="H7" i="13"/>
  <c r="H6" i="13"/>
  <c r="H5" i="13"/>
  <c r="H4" i="13"/>
  <c r="H3" i="13"/>
  <c r="H2" i="13"/>
  <c r="D8" i="13"/>
  <c r="D7" i="13"/>
  <c r="D6" i="13"/>
  <c r="D5" i="13"/>
  <c r="D4" i="13"/>
  <c r="D3" i="13"/>
  <c r="D2" i="13"/>
  <c r="D8" i="12"/>
  <c r="D7" i="12"/>
  <c r="D6" i="12"/>
  <c r="D5" i="12"/>
  <c r="D4" i="12"/>
  <c r="D3" i="12"/>
  <c r="D2" i="12"/>
  <c r="H18" i="13" l="1"/>
  <c r="H17" i="13"/>
  <c r="D17" i="13"/>
  <c r="D18" i="13"/>
  <c r="L17" i="13"/>
  <c r="L18" i="13"/>
  <c r="X18" i="13"/>
  <c r="X17" i="13"/>
  <c r="T17" i="13"/>
  <c r="T18" i="13"/>
  <c r="P18" i="13"/>
  <c r="P17" i="13"/>
  <c r="D18" i="12"/>
  <c r="D17" i="12"/>
  <c r="E3" i="6" l="1"/>
  <c r="E4" i="6"/>
  <c r="E5" i="6"/>
  <c r="E6" i="6"/>
  <c r="E7" i="6"/>
  <c r="E8" i="6"/>
  <c r="E2" i="6"/>
  <c r="E18" i="6" l="1"/>
  <c r="E17" i="6"/>
</calcChain>
</file>

<file path=xl/sharedStrings.xml><?xml version="1.0" encoding="utf-8"?>
<sst xmlns="http://schemas.openxmlformats.org/spreadsheetml/2006/main" count="1506" uniqueCount="498">
  <si>
    <t>ParticipantNo</t>
  </si>
  <si>
    <t>DoB</t>
  </si>
  <si>
    <t>Gender</t>
  </si>
  <si>
    <t>Gender 1 = female 2 = male</t>
  </si>
  <si>
    <t>Notes:</t>
  </si>
  <si>
    <t>DistancePostMts</t>
  </si>
  <si>
    <t>HandGripAvPre</t>
  </si>
  <si>
    <t>HandGripAvPost</t>
  </si>
  <si>
    <t>HandGripMaxPre</t>
  </si>
  <si>
    <t>HandGripMaxPost</t>
  </si>
  <si>
    <t>GHA03</t>
  </si>
  <si>
    <t>GHA01</t>
  </si>
  <si>
    <t>GHA07</t>
  </si>
  <si>
    <t>GHA13</t>
  </si>
  <si>
    <t>GHA15</t>
  </si>
  <si>
    <t>GHA16</t>
  </si>
  <si>
    <t>GHA21</t>
  </si>
  <si>
    <t>Mean</t>
  </si>
  <si>
    <t>StdDev</t>
  </si>
  <si>
    <t>ChairStandPre</t>
  </si>
  <si>
    <t>ChairStandPost</t>
  </si>
  <si>
    <t>BMIPre</t>
  </si>
  <si>
    <t>BMIPost</t>
  </si>
  <si>
    <t>%Change</t>
  </si>
  <si>
    <t>HeelRaisePre</t>
  </si>
  <si>
    <t>HeelRaisePost</t>
  </si>
  <si>
    <t>Ht (m)</t>
  </si>
  <si>
    <t>Age</t>
  </si>
  <si>
    <t>06.12.1938</t>
  </si>
  <si>
    <t>10.23.1949</t>
  </si>
  <si>
    <t>04.12.1947</t>
  </si>
  <si>
    <t>06.18.1953</t>
  </si>
  <si>
    <t>02.19.1952</t>
  </si>
  <si>
    <t>05.15.1951</t>
  </si>
  <si>
    <t>07.21.1938</t>
  </si>
  <si>
    <t>ABC%Pre</t>
  </si>
  <si>
    <t>ABC%Post</t>
  </si>
  <si>
    <t>SSAvLengthPre</t>
  </si>
  <si>
    <t>SSAvLengthPost</t>
  </si>
  <si>
    <t>SSAvWidthPre</t>
  </si>
  <si>
    <t>SSAvWidthPost</t>
  </si>
  <si>
    <t>SSAvVelPre</t>
  </si>
  <si>
    <t>SSAvCadencePre</t>
  </si>
  <si>
    <t>SSAvCadencePost</t>
  </si>
  <si>
    <t>Stride length, width in cm</t>
  </si>
  <si>
    <t>Stride Vel in cm/s</t>
  </si>
  <si>
    <t>Stride Cadence in steps/min</t>
  </si>
  <si>
    <t>for SS use trials 2,3,4 of 5</t>
  </si>
  <si>
    <t>for fast gait and dual task use first three good trials of 5</t>
  </si>
  <si>
    <t>NOTES</t>
  </si>
  <si>
    <t>SSMaxLengthPre</t>
  </si>
  <si>
    <t>SSMaxLengthPost</t>
  </si>
  <si>
    <t>SSMaxWidthPre</t>
  </si>
  <si>
    <t>SSMaxWidthPost</t>
  </si>
  <si>
    <t>SSMaxVelPre</t>
  </si>
  <si>
    <t>SSMaxCadencePre</t>
  </si>
  <si>
    <t>SSMaxCadencePost</t>
  </si>
  <si>
    <t>FGAvLengthPre</t>
  </si>
  <si>
    <t>FGAvLengthPost</t>
  </si>
  <si>
    <t>FGMaxLengthPre</t>
  </si>
  <si>
    <t>FGMaxLengthPost</t>
  </si>
  <si>
    <t>FGAvWidthPre</t>
  </si>
  <si>
    <t>FGAvWidthPost</t>
  </si>
  <si>
    <t>FGMaxWidthPre</t>
  </si>
  <si>
    <t>FGMaxWidthPost</t>
  </si>
  <si>
    <t>FGAvVelPre</t>
  </si>
  <si>
    <t>FGMaxVelPre</t>
  </si>
  <si>
    <t>FGAvCadencePre</t>
  </si>
  <si>
    <t>FGAvCadencePost</t>
  </si>
  <si>
    <t>FGMaxCadencePre</t>
  </si>
  <si>
    <t>FGMaxCadencePost</t>
  </si>
  <si>
    <t>DTAvLengthPre</t>
  </si>
  <si>
    <t>DTAvLengthPost</t>
  </si>
  <si>
    <t>DTMaxLengthPre</t>
  </si>
  <si>
    <t>DTMaxLengthPost</t>
  </si>
  <si>
    <t>DTAvWidthPre</t>
  </si>
  <si>
    <t>DTAvWidthPost</t>
  </si>
  <si>
    <t>DTMaxWidthPre</t>
  </si>
  <si>
    <t>DTMaxWidthPost</t>
  </si>
  <si>
    <t>DTAvVelPre</t>
  </si>
  <si>
    <t>DTMaxVelPre</t>
  </si>
  <si>
    <t>DTAvCadencePre</t>
  </si>
  <si>
    <t>DTAvCadencePost</t>
  </si>
  <si>
    <t>DTMaxCadencePre</t>
  </si>
  <si>
    <t>DTMaxCadencePost</t>
  </si>
  <si>
    <t>AttnPre</t>
  </si>
  <si>
    <t>AttnPost</t>
  </si>
  <si>
    <t>WrkMemryPre</t>
  </si>
  <si>
    <t>WrkMemryPost</t>
  </si>
  <si>
    <t>CardSrtPre</t>
  </si>
  <si>
    <t>CardSrtPost</t>
  </si>
  <si>
    <t>PrcssSpdPre</t>
  </si>
  <si>
    <t>PrcssSpdPost</t>
  </si>
  <si>
    <t>SeqMemryPre</t>
  </si>
  <si>
    <t>SeqMemryPost</t>
  </si>
  <si>
    <t>CogCompstePre</t>
  </si>
  <si>
    <t>CogCompstePost</t>
  </si>
  <si>
    <t>NIH Toolbox Flanker Inhibitory Control and Attention Test Age 12+ v2.1</t>
  </si>
  <si>
    <t>NIH Toolbox List Sorting Working Memory Test Age 7+ v2.1</t>
  </si>
  <si>
    <t>NIH Toolbox Dimensional Change Card Sort Test Age 12+ v2.1</t>
  </si>
  <si>
    <t>NIH Toolbox Pattern Comparison Processing Speed Test Age 7+ v2.1</t>
  </si>
  <si>
    <t>NIH Toolbox Picture Sequence Memory Test Age 8+ Form A v2.1</t>
  </si>
  <si>
    <t>Cognition Fluid Composite v1.1</t>
  </si>
  <si>
    <t>TotalTPre</t>
  </si>
  <si>
    <t>TotalTPost</t>
  </si>
  <si>
    <t>Distance1 (mi)</t>
  </si>
  <si>
    <t>Strd Length 1 (cm)</t>
  </si>
  <si>
    <t>TotalSteps1</t>
  </si>
  <si>
    <t>Time2 (s)</t>
  </si>
  <si>
    <t>Distance2 (mi)</t>
  </si>
  <si>
    <t>Strd Length 2 (cm)</t>
  </si>
  <si>
    <t>TotalSteps2</t>
  </si>
  <si>
    <t>GHA20</t>
  </si>
  <si>
    <t>GHA22</t>
  </si>
  <si>
    <t>GHA28</t>
  </si>
  <si>
    <t>GHA33</t>
  </si>
  <si>
    <t>SF-12 Health Survey</t>
  </si>
  <si>
    <t>GHA29</t>
  </si>
  <si>
    <t>8ftUpAvPre</t>
  </si>
  <si>
    <t>8ftUpMinPre (s)</t>
  </si>
  <si>
    <t>http://orthotoolkit.com/sf-12/</t>
  </si>
  <si>
    <t>GHA30</t>
  </si>
  <si>
    <t>GHA31</t>
  </si>
  <si>
    <t>GHA32</t>
  </si>
  <si>
    <t>8ftUpMinPost (s)</t>
  </si>
  <si>
    <t>8ftUpAvPost</t>
  </si>
  <si>
    <t>6MinWalkDistancePreMts</t>
  </si>
  <si>
    <t>11.09.1940</t>
  </si>
  <si>
    <t>10.08.1951</t>
  </si>
  <si>
    <t>09.17.1946</t>
  </si>
  <si>
    <t>10.11.1958</t>
  </si>
  <si>
    <t>02.09.1950</t>
  </si>
  <si>
    <t>09.21.1952</t>
  </si>
  <si>
    <t>06.09.1953</t>
  </si>
  <si>
    <t>12.08.1951</t>
  </si>
  <si>
    <t> 54.78</t>
  </si>
  <si>
    <t>Time1 (min)</t>
  </si>
  <si>
    <t>%change</t>
  </si>
  <si>
    <t>QuadStrengthAvgPre</t>
  </si>
  <si>
    <t>QuadStrengthAvgPost</t>
  </si>
  <si>
    <t>QuadMaxPre</t>
  </si>
  <si>
    <t>QuadMaxPost</t>
  </si>
  <si>
    <t>IR Pre</t>
  </si>
  <si>
    <t>IR Post</t>
  </si>
  <si>
    <t>LD Post Free</t>
  </si>
  <si>
    <t>LD Pre Free</t>
  </si>
  <si>
    <t>SD Post Free</t>
  </si>
  <si>
    <t>SD Pre Free</t>
  </si>
  <si>
    <t>NO POST TEST</t>
  </si>
  <si>
    <t>Weight (lb) Pre</t>
  </si>
  <si>
    <t>Weight (lb) Post</t>
  </si>
  <si>
    <t>NON-GOLF INJURY</t>
  </si>
  <si>
    <t xml:space="preserve"> NO POST DATA</t>
  </si>
  <si>
    <t>Std Dev</t>
  </si>
  <si>
    <t xml:space="preserve"> NO POST TEST</t>
  </si>
  <si>
    <t>NOTE:</t>
  </si>
  <si>
    <t>GHA22 had eczema post-intervention but has been included in above calculation</t>
  </si>
  <si>
    <t>Ht (in)</t>
  </si>
  <si>
    <t xml:space="preserve">Weight lb to kg divide by 2.205 </t>
  </si>
  <si>
    <t>Participant numbers IN ALL SHEETS according to Group No. in which they participated.</t>
  </si>
  <si>
    <t>Important Notes</t>
  </si>
  <si>
    <t>Height inches to m multiplied by 0.0254</t>
  </si>
  <si>
    <t xml:space="preserve">        GHA 32 dropped out due to non-golf injury</t>
  </si>
  <si>
    <t>%Change (of kg)</t>
  </si>
  <si>
    <t>results in lb, not used</t>
  </si>
  <si>
    <t>NO POST DATA</t>
  </si>
  <si>
    <t>NO POST TEST as FAINTED 4 DAYS PRIOR</t>
  </si>
  <si>
    <t>STOPPED WITH PAIN IN KNEES</t>
  </si>
  <si>
    <t xml:space="preserve">Std Dev </t>
  </si>
  <si>
    <t>Note:</t>
  </si>
  <si>
    <t>All participants played 9 holes on both days of the final week of golf except GHA 13 who played 9 holes once</t>
  </si>
  <si>
    <t>R1 Swings</t>
  </si>
  <si>
    <t>R1 Bendovers</t>
  </si>
  <si>
    <t>R1 Putts</t>
  </si>
  <si>
    <t>R2 Swings</t>
  </si>
  <si>
    <t>R2 Bendovers</t>
  </si>
  <si>
    <t>R2 Putts</t>
  </si>
  <si>
    <t>ALSO: the first round was used in the final calculations for all participants except GHA 13</t>
  </si>
  <si>
    <t>Swings</t>
  </si>
  <si>
    <t>Bendovers</t>
  </si>
  <si>
    <t>Putts</t>
  </si>
  <si>
    <t>Yellow indicates round used in calculation</t>
  </si>
  <si>
    <t xml:space="preserve">Mean </t>
  </si>
  <si>
    <t xml:space="preserve">                                 </t>
  </si>
  <si>
    <t>NO POST TEST NON GOLF INJURY</t>
  </si>
  <si>
    <t>n=14</t>
  </si>
  <si>
    <t>p=0.152</t>
  </si>
  <si>
    <t>p=0.057</t>
  </si>
  <si>
    <t>n=13</t>
  </si>
  <si>
    <t>p=0.006</t>
  </si>
  <si>
    <t>p=0.014</t>
  </si>
  <si>
    <t>p=0.805</t>
  </si>
  <si>
    <t>p=0.762</t>
  </si>
  <si>
    <t>p=0.022</t>
  </si>
  <si>
    <t>p&lt;0.001</t>
  </si>
  <si>
    <t>p=0.328</t>
  </si>
  <si>
    <t>p=0.494</t>
  </si>
  <si>
    <t>p=0.452</t>
  </si>
  <si>
    <t>Notes</t>
  </si>
  <si>
    <t>IR=Immediate</t>
  </si>
  <si>
    <t>SD=short delay</t>
  </si>
  <si>
    <t>LD=Long delay</t>
  </si>
  <si>
    <t>p=0.007</t>
  </si>
  <si>
    <t>p=0.005</t>
  </si>
  <si>
    <t>p=0.834</t>
  </si>
  <si>
    <t>p=0.104</t>
  </si>
  <si>
    <t>p=0.356</t>
  </si>
  <si>
    <t>p=0.118</t>
  </si>
  <si>
    <t>p=0.3</t>
  </si>
  <si>
    <t>p=0.559</t>
  </si>
  <si>
    <t>p=0.044</t>
  </si>
  <si>
    <t>p=0.029</t>
  </si>
  <si>
    <t>p=0.097</t>
  </si>
  <si>
    <t>p=0.349</t>
  </si>
  <si>
    <t>p=0.214</t>
  </si>
  <si>
    <t>p=0.451</t>
  </si>
  <si>
    <t>p=0.290</t>
  </si>
  <si>
    <t>p=0.820</t>
  </si>
  <si>
    <t>p=0.891</t>
  </si>
  <si>
    <t>p=0.336</t>
  </si>
  <si>
    <t>p=0.056</t>
  </si>
  <si>
    <t>p=0.031</t>
  </si>
  <si>
    <t>p=0.030</t>
  </si>
  <si>
    <t>p=0.791</t>
  </si>
  <si>
    <t>p=0.566</t>
  </si>
  <si>
    <t>p=0.003</t>
  </si>
  <si>
    <t>p=0.236</t>
  </si>
  <si>
    <t>p=0.241</t>
  </si>
  <si>
    <t>p=0.061</t>
  </si>
  <si>
    <t>p=0.096</t>
  </si>
  <si>
    <t>p=0.161</t>
  </si>
  <si>
    <t>p=0.048</t>
  </si>
  <si>
    <t>p=0.059</t>
  </si>
  <si>
    <t>p=0.175</t>
  </si>
  <si>
    <t>SS_AvVel_Pre</t>
  </si>
  <si>
    <t>SS_AvVel_Post</t>
  </si>
  <si>
    <t>FG_AvVel_Pre</t>
  </si>
  <si>
    <t>FG_AvVel_Post</t>
  </si>
  <si>
    <t>DT_AvVe_Pre</t>
  </si>
  <si>
    <t>DT_AvVel_Post</t>
  </si>
  <si>
    <t>Vel converted to m/s</t>
  </si>
  <si>
    <t>Stride length converted to m</t>
  </si>
  <si>
    <t xml:space="preserve">Cadence in steps/min </t>
  </si>
  <si>
    <t>Cognitive cost = CRR seated - CRR walking/CRR seated</t>
  </si>
  <si>
    <t>CRR = response rate per second x percent correct numbers</t>
  </si>
  <si>
    <t>Cog_COST_Pre</t>
  </si>
  <si>
    <t>Cog_COST_Post</t>
  </si>
  <si>
    <t>SS_AvStrLength_Pre</t>
  </si>
  <si>
    <t>SS_AvStrLength_Post</t>
  </si>
  <si>
    <t>FG_AvStrLength_Pre</t>
  </si>
  <si>
    <t>FG_AvStrLength_Post</t>
  </si>
  <si>
    <t>DT_AvStrLength_Pre</t>
  </si>
  <si>
    <t>DT_AvStrLength_Post</t>
  </si>
  <si>
    <t>SS_AvCade_Pre</t>
  </si>
  <si>
    <t>SS_AvCade_Post</t>
  </si>
  <si>
    <t>FG_AvCade_Pre</t>
  </si>
  <si>
    <t>FG_AvCade_Post</t>
  </si>
  <si>
    <t>DT_AvCade_Pre</t>
  </si>
  <si>
    <t>DT_AvCade_Post</t>
  </si>
  <si>
    <t>NO POST NON GOLF INJURY</t>
  </si>
  <si>
    <t>L_WS_Pre</t>
  </si>
  <si>
    <t>L_WS_Post</t>
  </si>
  <si>
    <t>L_Step_Pre</t>
  </si>
  <si>
    <t>L_Step_Post</t>
  </si>
  <si>
    <t>L_Move_Pre</t>
  </si>
  <si>
    <t>L_Move_Post</t>
  </si>
  <si>
    <t>R_WS_Pre</t>
  </si>
  <si>
    <t>R_WS_Post</t>
  </si>
  <si>
    <t>R_Step_Pre</t>
  </si>
  <si>
    <t>R_Step_Post</t>
  </si>
  <si>
    <t>R_Move_Pre</t>
  </si>
  <si>
    <t>R_Move_Post</t>
  </si>
  <si>
    <t>Comb_WS_Pre</t>
  </si>
  <si>
    <t>Comb_WS_Post</t>
  </si>
  <si>
    <t>Comb_Step_Pre</t>
  </si>
  <si>
    <t>Comb_Step_Post</t>
  </si>
  <si>
    <t>Comb_Move_Pre</t>
  </si>
  <si>
    <t>Comb_Move_Post</t>
  </si>
  <si>
    <t>n = 13</t>
  </si>
  <si>
    <t>NOTES:</t>
  </si>
  <si>
    <t>negative  = improvement in time</t>
  </si>
  <si>
    <t>Calc</t>
  </si>
  <si>
    <t>Cohen's d</t>
  </si>
  <si>
    <t>n = 14</t>
  </si>
  <si>
    <t xml:space="preserve">Cohen's d small ≤ .20     medium =  .50     large ≥  .80       </t>
  </si>
  <si>
    <t>PrePhys</t>
  </si>
  <si>
    <t>PostPhys</t>
  </si>
  <si>
    <t>PreCog</t>
  </si>
  <si>
    <t>PostCog</t>
  </si>
  <si>
    <t>Colums B and C report PHYSICAL (Phys) scores (PCS-12)</t>
  </si>
  <si>
    <t>Colums F and G report MENTAL (Cog) scores (PCS-12)</t>
  </si>
  <si>
    <r>
      <t xml:space="preserve">Cohen's d small </t>
    </r>
    <r>
      <rPr>
        <sz val="11"/>
        <color rgb="FFFF0000"/>
        <rFont val="Calibri"/>
        <family val="2"/>
      </rPr>
      <t>≤</t>
    </r>
    <r>
      <rPr>
        <sz val="11"/>
        <color rgb="FFFF0000"/>
        <rFont val="Calibri"/>
        <family val="2"/>
        <scheme val="minor"/>
      </rPr>
      <t xml:space="preserve"> .20     medium =  .50     large </t>
    </r>
    <r>
      <rPr>
        <sz val="11"/>
        <color rgb="FFFF0000"/>
        <rFont val="Calibri"/>
        <family val="2"/>
      </rPr>
      <t>≥</t>
    </r>
    <r>
      <rPr>
        <sz val="11"/>
        <color rgb="FFFF0000"/>
        <rFont val="Calibri"/>
        <family val="2"/>
        <scheme val="minor"/>
      </rPr>
      <t xml:space="preserve">  .80        </t>
    </r>
  </si>
  <si>
    <t>Body Fat % Pre</t>
  </si>
  <si>
    <t>Body Fat % Post</t>
  </si>
  <si>
    <t>Visceral Fat Pre</t>
  </si>
  <si>
    <t>Visceral Fat Post</t>
  </si>
  <si>
    <t>Participant</t>
  </si>
  <si>
    <t>no blood</t>
  </si>
  <si>
    <t>MTS_ML_Dist_Pre</t>
  </si>
  <si>
    <t>MTS_ML_Dist_Post</t>
  </si>
  <si>
    <t>MTS_ML_Excursion_Pre</t>
  </si>
  <si>
    <t>MTS_ML_Excursion_Post</t>
  </si>
  <si>
    <t>MTS_ML_Vel_Pre</t>
  </si>
  <si>
    <t>MTS_ML_Vel_Post</t>
  </si>
  <si>
    <t>MTS_ML_Range_Pre</t>
  </si>
  <si>
    <t>MTS_ML_Range_Post</t>
  </si>
  <si>
    <t>MTS_AP_Dist_Pre</t>
  </si>
  <si>
    <t>MTS_AP_Dist_Post</t>
  </si>
  <si>
    <t>MTS_AP_Excursion_Pre</t>
  </si>
  <si>
    <t>MTS_AP_Excursion_Post</t>
  </si>
  <si>
    <t>MTS_AP_Vel_Pre</t>
  </si>
  <si>
    <t>MTS_AP_Vel_Post</t>
  </si>
  <si>
    <t>MTS_AP_Range_Pre</t>
  </si>
  <si>
    <t>MTS_AP_Range_Post</t>
  </si>
  <si>
    <t>NS_ML_Dist_Pre</t>
  </si>
  <si>
    <t>NS_ML_Dist_Post</t>
  </si>
  <si>
    <t>NS_ML_Excursion_Pre</t>
  </si>
  <si>
    <t>NS_ML_Excursion_Post</t>
  </si>
  <si>
    <t>NS_ML_Vel_Pre</t>
  </si>
  <si>
    <t>NS_ML_Vel_Post</t>
  </si>
  <si>
    <t>NS_ML_Range_Pre</t>
  </si>
  <si>
    <t>NS_ML_Range_Post</t>
  </si>
  <si>
    <t>NS_AP_Dist_Pre</t>
  </si>
  <si>
    <t>NS_AP_Dist_Post</t>
  </si>
  <si>
    <t>NS_AP_Excursion_Pre</t>
  </si>
  <si>
    <t>NS_AP_Excursion_Post</t>
  </si>
  <si>
    <t>NS_AP_Vel_Pre</t>
  </si>
  <si>
    <t>NS_AP_Vel_Post</t>
  </si>
  <si>
    <t>NS_AP_Range_Pre</t>
  </si>
  <si>
    <t>NS_AP_Range_Post</t>
  </si>
  <si>
    <t>TS_ML_Dist_Pre</t>
  </si>
  <si>
    <t>TS_ML_Dist_Post</t>
  </si>
  <si>
    <t>TS_ML_Excursion_Pre</t>
  </si>
  <si>
    <t>TS_ML_Excursion_Post</t>
  </si>
  <si>
    <t>TS_ML_Vel_Pre</t>
  </si>
  <si>
    <t>TS_ML_Vel_Post</t>
  </si>
  <si>
    <t>TS_ML_Range_Pre</t>
  </si>
  <si>
    <t>TS_ML_Range_Post</t>
  </si>
  <si>
    <t>TS_AP_Dist_Pre</t>
  </si>
  <si>
    <t>TS_AP_Dist_Post</t>
  </si>
  <si>
    <t>TS_AP_Excursion_Pre</t>
  </si>
  <si>
    <t>TS_AP_Excursion_Post</t>
  </si>
  <si>
    <t>TS_AP_Vel_Pre</t>
  </si>
  <si>
    <t>TS_AP_Vel_Post</t>
  </si>
  <si>
    <t>TS_AP_Range_Pre</t>
  </si>
  <si>
    <t>TS_AP_Range_Post</t>
  </si>
  <si>
    <t>CRP in µg/mL</t>
  </si>
  <si>
    <r>
      <t xml:space="preserve">high </t>
    </r>
    <r>
      <rPr>
        <sz val="11"/>
        <color theme="1"/>
        <rFont val="Calibri"/>
        <family val="2"/>
      </rPr>
      <t>≥µg/mL</t>
    </r>
  </si>
  <si>
    <r>
      <t xml:space="preserve">CRP Pre
</t>
    </r>
    <r>
      <rPr>
        <sz val="12"/>
        <color theme="1"/>
        <rFont val="Calibri"/>
        <family val="2"/>
      </rPr>
      <t/>
    </r>
  </si>
  <si>
    <r>
      <t xml:space="preserve">CRP Post
</t>
    </r>
    <r>
      <rPr>
        <sz val="12"/>
        <color theme="1"/>
        <rFont val="Calibri"/>
        <family val="2"/>
      </rPr>
      <t/>
    </r>
  </si>
  <si>
    <t>IFNy Pre</t>
  </si>
  <si>
    <t>IFNy in pg/mL</t>
  </si>
  <si>
    <t>IL-10 in pg/mL</t>
  </si>
  <si>
    <t>IL-1a in pg/mL</t>
  </si>
  <si>
    <t>IL-1b in pg/mL</t>
  </si>
  <si>
    <t>IL-6 in pg/mL</t>
  </si>
  <si>
    <t>TNF-a in pg/mL</t>
  </si>
  <si>
    <t>IFNy Post</t>
  </si>
  <si>
    <t>IL-10 Pre</t>
  </si>
  <si>
    <t>IL-10 Post</t>
  </si>
  <si>
    <t>IL-1a Pre</t>
  </si>
  <si>
    <t>IL-1a Post</t>
  </si>
  <si>
    <t>IL-1b Pre</t>
  </si>
  <si>
    <t>IL-1b Post</t>
  </si>
  <si>
    <t>IL-6 Pre</t>
  </si>
  <si>
    <t>IL-6 Post</t>
  </si>
  <si>
    <t>TNF-a Pre</t>
  </si>
  <si>
    <t>TNF-a Post</t>
  </si>
  <si>
    <t>&lt;3.94</t>
  </si>
  <si>
    <t>&lt;2.23</t>
  </si>
  <si>
    <t>&lt;0.12</t>
  </si>
  <si>
    <t>n=12</t>
  </si>
  <si>
    <t>n=6</t>
  </si>
  <si>
    <t>n=4</t>
  </si>
  <si>
    <t>n=7</t>
  </si>
  <si>
    <r>
      <t xml:space="preserve">n=11, </t>
    </r>
    <r>
      <rPr>
        <b/>
        <sz val="11"/>
        <color rgb="FFFF0000"/>
        <rFont val="Calibri"/>
        <family val="2"/>
        <scheme val="minor"/>
      </rPr>
      <t>GHA03 excluded</t>
    </r>
  </si>
  <si>
    <t>p = 0.990</t>
  </si>
  <si>
    <t>p = 0.342</t>
  </si>
  <si>
    <t xml:space="preserve"> p = 0.342</t>
  </si>
  <si>
    <t>p = 0.877</t>
  </si>
  <si>
    <t>p = 0.824</t>
  </si>
  <si>
    <t>p = 0.157</t>
  </si>
  <si>
    <t>p = 0.894</t>
  </si>
  <si>
    <t>p = 0.961</t>
  </si>
  <si>
    <t>p = 0.205</t>
  </si>
  <si>
    <t>p = 0.701</t>
  </si>
  <si>
    <t>p = 0.794</t>
  </si>
  <si>
    <t>p = 0.324</t>
  </si>
  <si>
    <t>p = 0.637</t>
  </si>
  <si>
    <t>p = 0.477</t>
  </si>
  <si>
    <t>p = 0.222</t>
  </si>
  <si>
    <t>p = 0.660</t>
  </si>
  <si>
    <t>p = 0.218</t>
  </si>
  <si>
    <t>p = 0.030</t>
  </si>
  <si>
    <t>p = 0.058</t>
  </si>
  <si>
    <t>p = 0.430</t>
  </si>
  <si>
    <t>p = .017</t>
  </si>
  <si>
    <t>p = .036</t>
  </si>
  <si>
    <t>if n = 13 exclude GHA 22</t>
  </si>
  <si>
    <t>means for n = 13</t>
  </si>
  <si>
    <t>%Change for n = 13</t>
  </si>
  <si>
    <t>was 42 pre</t>
  </si>
  <si>
    <t>22 is correct</t>
  </si>
  <si>
    <t>Vel_COST_Pre</t>
  </si>
  <si>
    <t>Vel_COST_Post_</t>
  </si>
  <si>
    <t xml:space="preserve">red highlighted = very large value </t>
  </si>
  <si>
    <t xml:space="preserve">p = 0.007
</t>
  </si>
  <si>
    <t xml:space="preserve">p = 0.820
</t>
  </si>
  <si>
    <t xml:space="preserve">p = 0.349
</t>
  </si>
  <si>
    <t xml:space="preserve">p = 0.031
</t>
  </si>
  <si>
    <t xml:space="preserve">p = 0.061
</t>
  </si>
  <si>
    <t xml:space="preserve">p = 0.336
</t>
  </si>
  <si>
    <t xml:space="preserve">p = 0.236
</t>
  </si>
  <si>
    <t xml:space="preserve">p = 0.059
</t>
  </si>
  <si>
    <t>p = 0.251</t>
  </si>
  <si>
    <t xml:space="preserve">p = 0.310
</t>
  </si>
  <si>
    <t>p = 0.130</t>
  </si>
  <si>
    <t>p = 0.119</t>
  </si>
  <si>
    <t>p = 0.736</t>
  </si>
  <si>
    <t>p = 0.521</t>
  </si>
  <si>
    <t>p = 0.563</t>
  </si>
  <si>
    <t>p = 0.444</t>
  </si>
  <si>
    <t>p = 0.250</t>
  </si>
  <si>
    <t>p=0.026</t>
  </si>
  <si>
    <t>red nos means they were incorrect before, now correct</t>
  </si>
  <si>
    <t xml:space="preserve">p = 0.026
</t>
  </si>
  <si>
    <t xml:space="preserve">p = 0.207
</t>
  </si>
  <si>
    <t>FGAvVelPost</t>
  </si>
  <si>
    <t xml:space="preserve">p = 0.472
</t>
  </si>
  <si>
    <t>DTVel_COST = FG-DT/FG (all velocities)</t>
  </si>
  <si>
    <t>MaxHip abd Pre (N)</t>
  </si>
  <si>
    <t>MaxHip abd Post (N)</t>
  </si>
  <si>
    <t>Post HipAB Normalized to BW (N/kg)</t>
  </si>
  <si>
    <t>Pre HipAB Normalized to BW (N/kg)</t>
  </si>
  <si>
    <t>Converted to kg  H/2.205)</t>
  </si>
  <si>
    <t>Converted to kg  J/2.205)</t>
  </si>
  <si>
    <t xml:space="preserve">Mass kg Post </t>
  </si>
  <si>
    <t>Mass kg  Pre</t>
  </si>
  <si>
    <t>stddev n = 13</t>
  </si>
  <si>
    <t>mean</t>
  </si>
  <si>
    <t>stddev</t>
  </si>
  <si>
    <t>without GHA28</t>
  </si>
  <si>
    <t>std dev</t>
  </si>
  <si>
    <t>p = 0.017</t>
  </si>
  <si>
    <t>pre</t>
  </si>
  <si>
    <t>post</t>
  </si>
  <si>
    <t>%Change of averages</t>
  </si>
  <si>
    <t>%change average</t>
  </si>
  <si>
    <t xml:space="preserve">%Change </t>
  </si>
  <si>
    <t>Mean Diff</t>
  </si>
  <si>
    <t>p value</t>
  </si>
  <si>
    <t>CRP</t>
  </si>
  <si>
    <t>IFNy</t>
  </si>
  <si>
    <t>TNFa</t>
  </si>
  <si>
    <t>Pre</t>
  </si>
  <si>
    <t>Post</t>
  </si>
  <si>
    <t>n=11, GHA30 exluded</t>
  </si>
  <si>
    <t>p = 0.458</t>
  </si>
  <si>
    <t>Pooled Std Dev</t>
  </si>
  <si>
    <t>p = 0.187</t>
  </si>
  <si>
    <t>SD</t>
  </si>
  <si>
    <r>
      <t>IFN-</t>
    </r>
    <r>
      <rPr>
        <sz val="11"/>
        <color theme="1"/>
        <rFont val="Calibri"/>
        <family val="2"/>
      </rPr>
      <t>γ</t>
    </r>
  </si>
  <si>
    <r>
      <t>TNF-</t>
    </r>
    <r>
      <rPr>
        <sz val="11"/>
        <color theme="1"/>
        <rFont val="Calibri"/>
        <family val="2"/>
      </rPr>
      <t>α</t>
    </r>
  </si>
  <si>
    <t>Pooled SD</t>
  </si>
  <si>
    <t>n = 7, &gt;2.5mg/L</t>
  </si>
  <si>
    <t>only pre data has GHA32 mass</t>
  </si>
  <si>
    <t>Participant M-M Pre</t>
  </si>
  <si>
    <t>M-M Post</t>
  </si>
  <si>
    <t>%Change Av.</t>
  </si>
  <si>
    <t>Cohen'd d</t>
  </si>
  <si>
    <t>diff in mean</t>
  </si>
  <si>
    <t>pooled SD</t>
  </si>
  <si>
    <t>p = 0.102</t>
  </si>
  <si>
    <t xml:space="preserve">Note: Results are in MET-Minues per week and you could </t>
  </si>
  <si>
    <t>Risk: &lt;8</t>
  </si>
  <si>
    <t>Risk: &gt;9</t>
  </si>
  <si>
    <t>Risk: &lt;320m</t>
  </si>
  <si>
    <t>Norm for 60-69</t>
  </si>
  <si>
    <t>Women: 24.5kg</t>
  </si>
  <si>
    <t>Men: 44.6kg</t>
  </si>
  <si>
    <t>Desrosiers et al (1995)</t>
  </si>
  <si>
    <t>Norm for 65-69</t>
  </si>
  <si>
    <t>Men: 12-18</t>
  </si>
  <si>
    <t>Women: 11-16</t>
  </si>
  <si>
    <t>Men: 5.7-4.3</t>
  </si>
  <si>
    <t>Women: 6.4-4.8</t>
  </si>
  <si>
    <t>Women: 457-581m</t>
  </si>
  <si>
    <t>Men: 512-640m</t>
  </si>
  <si>
    <t>RHR Pre</t>
  </si>
  <si>
    <t>RHR Post</t>
  </si>
  <si>
    <t>Systolic BP Pre</t>
  </si>
  <si>
    <t>Systolic BP Post</t>
  </si>
  <si>
    <t>Diastolic BP Pre</t>
  </si>
  <si>
    <t>Diastolic BP Post</t>
  </si>
  <si>
    <t>p</t>
  </si>
  <si>
    <t>Female</t>
  </si>
  <si>
    <t>Male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</si>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</sst>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####.00000000"/>
    <numFmt numFmtId="167" formatCode="0.00000"/>
    <numFmt numFmtId="168" formatCode="0.00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trike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33" fillId="0" borderId="0"/>
  </cellStyleXfs>
  <cellXfs count="304">
    <xf numFmtId="0" fontId="0" fillId="0" borderId="0" xfId="0"/>
    <xf numFmtId="0" fontId="1" fillId="0" borderId="0" xfId="0" applyFont="1"/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/>
    <xf numFmtId="1" fontId="0" fillId="0" borderId="0" xfId="0" applyNumberFormat="1" applyBorder="1"/>
    <xf numFmtId="2" fontId="0" fillId="0" borderId="0" xfId="0" applyNumberFormat="1"/>
    <xf numFmtId="0" fontId="2" fillId="0" borderId="0" xfId="1" applyFill="1" applyBorder="1"/>
    <xf numFmtId="0" fontId="2" fillId="0" borderId="0" xfId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34" borderId="0" xfId="0" applyFill="1"/>
    <xf numFmtId="0" fontId="0" fillId="34" borderId="0" xfId="0" applyFill="1" applyBorder="1"/>
    <xf numFmtId="0" fontId="1" fillId="0" borderId="0" xfId="0" applyFont="1" applyAlignment="1">
      <alignment horizontal="center"/>
    </xf>
    <xf numFmtId="0" fontId="0" fillId="2" borderId="0" xfId="0" applyFill="1" applyBorder="1"/>
    <xf numFmtId="0" fontId="0" fillId="2" borderId="0" xfId="0" applyFont="1" applyFill="1" applyBorder="1"/>
    <xf numFmtId="1" fontId="0" fillId="2" borderId="0" xfId="0" applyNumberFormat="1" applyFill="1"/>
    <xf numFmtId="0" fontId="2" fillId="2" borderId="0" xfId="1" applyFill="1" applyBorder="1"/>
    <xf numFmtId="1" fontId="0" fillId="2" borderId="0" xfId="0" applyNumberFormat="1" applyFill="1" applyBorder="1"/>
    <xf numFmtId="0" fontId="22" fillId="0" borderId="0" xfId="0" applyFont="1" applyAlignment="1">
      <alignment horizontal="center"/>
    </xf>
    <xf numFmtId="0" fontId="22" fillId="0" borderId="0" xfId="0" applyFont="1"/>
    <xf numFmtId="2" fontId="22" fillId="0" borderId="0" xfId="0" applyNumberFormat="1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 applyFill="1" applyBorder="1"/>
    <xf numFmtId="0" fontId="22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1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/>
    <xf numFmtId="164" fontId="17" fillId="0" borderId="0" xfId="0" applyNumberFormat="1" applyFont="1" applyFill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17" fillId="0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26" fillId="0" borderId="0" xfId="0" applyFont="1" applyAlignment="1">
      <alignment horizontal="center"/>
    </xf>
    <xf numFmtId="2" fontId="17" fillId="0" borderId="0" xfId="0" applyNumberFormat="1" applyFont="1" applyFill="1" applyBorder="1"/>
    <xf numFmtId="2" fontId="17" fillId="0" borderId="0" xfId="0" applyNumberFormat="1" applyFont="1"/>
    <xf numFmtId="0" fontId="27" fillId="0" borderId="0" xfId="0" applyFont="1" applyAlignment="1">
      <alignment horizontal="center"/>
    </xf>
    <xf numFmtId="2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 wrapText="1"/>
    </xf>
    <xf numFmtId="0" fontId="2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0" xfId="0" quotePrefix="1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2" fontId="31" fillId="0" borderId="0" xfId="0" applyNumberFormat="1" applyFont="1" applyFill="1" applyAlignment="1">
      <alignment horizontal="center"/>
    </xf>
    <xf numFmtId="2" fontId="31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3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quotePrefix="1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Fill="1"/>
    <xf numFmtId="0" fontId="0" fillId="0" borderId="0" xfId="0" applyFont="1" applyBorder="1"/>
    <xf numFmtId="0" fontId="0" fillId="0" borderId="1" xfId="0" applyFont="1" applyBorder="1"/>
    <xf numFmtId="2" fontId="0" fillId="0" borderId="0" xfId="0" applyNumberFormat="1" applyFont="1" applyBorder="1"/>
    <xf numFmtId="2" fontId="0" fillId="0" borderId="1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1" xfId="0" applyFont="1" applyFill="1" applyBorder="1"/>
    <xf numFmtId="0" fontId="20" fillId="0" borderId="0" xfId="44" applyFont="1"/>
    <xf numFmtId="0" fontId="29" fillId="0" borderId="0" xfId="0" applyFont="1" applyFill="1" applyBorder="1"/>
    <xf numFmtId="0" fontId="29" fillId="0" borderId="0" xfId="0" applyFont="1"/>
    <xf numFmtId="1" fontId="0" fillId="0" borderId="0" xfId="0" applyNumberFormat="1" applyFill="1"/>
    <xf numFmtId="1" fontId="0" fillId="0" borderId="0" xfId="0" applyNumberFormat="1" applyFill="1" applyBorder="1"/>
    <xf numFmtId="0" fontId="3" fillId="2" borderId="0" xfId="1" applyFont="1" applyFill="1" applyBorder="1"/>
    <xf numFmtId="0" fontId="3" fillId="0" borderId="0" xfId="1" applyFont="1" applyFill="1" applyBorder="1"/>
    <xf numFmtId="0" fontId="23" fillId="0" borderId="0" xfId="0" applyFont="1" applyFill="1" applyBorder="1"/>
    <xf numFmtId="2" fontId="22" fillId="0" borderId="0" xfId="0" applyNumberFormat="1" applyFont="1" applyFill="1"/>
    <xf numFmtId="2" fontId="0" fillId="0" borderId="0" xfId="0" applyNumberFormat="1" applyFill="1"/>
    <xf numFmtId="0" fontId="30" fillId="0" borderId="0" xfId="0" applyFont="1" applyBorder="1"/>
    <xf numFmtId="0" fontId="30" fillId="0" borderId="0" xfId="0" applyFont="1"/>
    <xf numFmtId="0" fontId="30" fillId="0" borderId="0" xfId="0" applyFont="1" applyFill="1" applyBorder="1"/>
    <xf numFmtId="0" fontId="0" fillId="0" borderId="0" xfId="0" applyFont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0" fontId="29" fillId="0" borderId="0" xfId="0" quotePrefix="1" applyFont="1" applyFill="1" applyBorder="1" applyAlignment="1">
      <alignment horizontal="center"/>
    </xf>
    <xf numFmtId="0" fontId="17" fillId="0" borderId="0" xfId="0" applyFont="1" applyFill="1" applyBorder="1"/>
    <xf numFmtId="0" fontId="0" fillId="0" borderId="11" xfId="0" applyFont="1" applyFill="1" applyBorder="1"/>
    <xf numFmtId="0" fontId="0" fillId="0" borderId="11" xfId="0" applyFill="1" applyBorder="1"/>
    <xf numFmtId="0" fontId="0" fillId="0" borderId="13" xfId="0" applyFont="1" applyFill="1" applyBorder="1"/>
    <xf numFmtId="0" fontId="0" fillId="0" borderId="12" xfId="0" applyFont="1" applyFill="1" applyBorder="1"/>
    <xf numFmtId="0" fontId="0" fillId="0" borderId="13" xfId="0" applyFill="1" applyBorder="1"/>
    <xf numFmtId="0" fontId="0" fillId="0" borderId="12" xfId="0" applyFill="1" applyBorder="1"/>
    <xf numFmtId="0" fontId="0" fillId="0" borderId="1" xfId="0" applyFill="1" applyBorder="1"/>
    <xf numFmtId="2" fontId="2" fillId="0" borderId="0" xfId="1" applyNumberFormat="1" applyFill="1" applyBorder="1"/>
    <xf numFmtId="2" fontId="2" fillId="0" borderId="0" xfId="1" applyNumberFormat="1" applyFill="1"/>
    <xf numFmtId="2" fontId="22" fillId="0" borderId="0" xfId="1" applyNumberFormat="1" applyFont="1" applyFill="1"/>
    <xf numFmtId="0" fontId="22" fillId="0" borderId="0" xfId="1" applyFont="1" applyFill="1" applyBorder="1"/>
    <xf numFmtId="0" fontId="22" fillId="0" borderId="0" xfId="1" applyFont="1" applyFill="1"/>
    <xf numFmtId="0" fontId="24" fillId="0" borderId="0" xfId="1" applyFont="1" applyFill="1" applyBorder="1"/>
    <xf numFmtId="0" fontId="0" fillId="0" borderId="0" xfId="1" applyFont="1" applyFill="1"/>
    <xf numFmtId="2" fontId="17" fillId="0" borderId="0" xfId="1" applyNumberFormat="1" applyFont="1" applyFill="1"/>
    <xf numFmtId="0" fontId="2" fillId="0" borderId="0" xfId="1" applyFill="1"/>
    <xf numFmtId="0" fontId="17" fillId="0" borderId="0" xfId="1" applyFont="1" applyFill="1"/>
    <xf numFmtId="0" fontId="1" fillId="0" borderId="0" xfId="1" applyFont="1" applyFill="1" applyBorder="1"/>
    <xf numFmtId="0" fontId="2" fillId="0" borderId="0" xfId="1" applyFill="1" applyAlignment="1">
      <alignment horizontal="right"/>
    </xf>
    <xf numFmtId="0" fontId="4" fillId="0" borderId="0" xfId="45" applyFill="1"/>
    <xf numFmtId="2" fontId="22" fillId="0" borderId="0" xfId="1" applyNumberFormat="1" applyFont="1" applyFill="1" applyBorder="1"/>
    <xf numFmtId="0" fontId="0" fillId="0" borderId="0" xfId="1" applyFont="1" applyFill="1" applyBorder="1"/>
    <xf numFmtId="0" fontId="2" fillId="0" borderId="0" xfId="1" applyFont="1" applyFill="1" applyBorder="1"/>
    <xf numFmtId="0" fontId="2" fillId="0" borderId="0" xfId="0" applyFont="1" applyFill="1" applyBorder="1"/>
    <xf numFmtId="0" fontId="29" fillId="0" borderId="0" xfId="1" applyFont="1" applyFill="1" applyBorder="1"/>
    <xf numFmtId="2" fontId="0" fillId="0" borderId="0" xfId="1" applyNumberFormat="1" applyFont="1" applyFill="1" applyBorder="1"/>
    <xf numFmtId="0" fontId="17" fillId="0" borderId="0" xfId="1" applyFont="1" applyFill="1" applyAlignment="1">
      <alignment horizontal="center"/>
    </xf>
    <xf numFmtId="2" fontId="17" fillId="0" borderId="0" xfId="1" applyNumberFormat="1" applyFont="1" applyFill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0" fillId="35" borderId="0" xfId="0" applyFill="1"/>
    <xf numFmtId="0" fontId="0" fillId="37" borderId="0" xfId="0" applyFill="1"/>
    <xf numFmtId="0" fontId="17" fillId="0" borderId="0" xfId="0" applyFont="1" applyAlignment="1"/>
    <xf numFmtId="166" fontId="34" fillId="0" borderId="14" xfId="46" applyNumberFormat="1" applyFont="1" applyBorder="1" applyAlignment="1">
      <alignment horizontal="right" vertical="center"/>
    </xf>
    <xf numFmtId="166" fontId="34" fillId="0" borderId="15" xfId="46" applyNumberFormat="1" applyFont="1" applyBorder="1" applyAlignment="1">
      <alignment horizontal="right" vertical="center"/>
    </xf>
    <xf numFmtId="0" fontId="0" fillId="0" borderId="0" xfId="0" applyAlignment="1"/>
    <xf numFmtId="0" fontId="0" fillId="35" borderId="0" xfId="0" applyFill="1" applyAlignment="1"/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/>
    </xf>
    <xf numFmtId="1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0" fontId="0" fillId="37" borderId="0" xfId="0" applyFill="1" applyAlignment="1"/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/>
    <xf numFmtId="0" fontId="17" fillId="0" borderId="0" xfId="0" applyFont="1" applyBorder="1" applyAlignment="1">
      <alignment horizontal="center" vertical="center"/>
    </xf>
    <xf numFmtId="165" fontId="17" fillId="0" borderId="0" xfId="0" applyNumberFormat="1" applyFont="1" applyBorder="1" applyAlignment="1">
      <alignment horizontal="center"/>
    </xf>
    <xf numFmtId="10" fontId="17" fillId="0" borderId="0" xfId="0" applyNumberFormat="1" applyFont="1" applyBorder="1" applyAlignment="1">
      <alignment horizontal="center" vertical="center"/>
    </xf>
    <xf numFmtId="10" fontId="0" fillId="36" borderId="0" xfId="0" applyNumberFormat="1" applyFont="1" applyFill="1" applyBorder="1" applyAlignment="1">
      <alignment horizontal="center" vertical="center"/>
    </xf>
    <xf numFmtId="168" fontId="17" fillId="0" borderId="0" xfId="0" applyNumberFormat="1" applyFont="1" applyAlignment="1">
      <alignment horizontal="center"/>
    </xf>
    <xf numFmtId="168" fontId="0" fillId="0" borderId="0" xfId="0" applyNumberFormat="1"/>
    <xf numFmtId="168" fontId="17" fillId="0" borderId="0" xfId="0" applyNumberFormat="1" applyFont="1"/>
    <xf numFmtId="2" fontId="17" fillId="2" borderId="0" xfId="0" applyNumberFormat="1" applyFont="1" applyFill="1" applyAlignment="1">
      <alignment horizontal="center"/>
    </xf>
    <xf numFmtId="167" fontId="22" fillId="2" borderId="0" xfId="0" applyNumberFormat="1" applyFont="1" applyFill="1" applyAlignment="1">
      <alignment horizontal="center"/>
    </xf>
    <xf numFmtId="165" fontId="31" fillId="0" borderId="0" xfId="0" applyNumberFormat="1" applyFont="1" applyFill="1" applyAlignment="1">
      <alignment horizontal="center"/>
    </xf>
    <xf numFmtId="167" fontId="31" fillId="0" borderId="0" xfId="0" applyNumberFormat="1" applyFont="1" applyFill="1" applyAlignment="1">
      <alignment horizontal="center"/>
    </xf>
    <xf numFmtId="165" fontId="31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2" fillId="2" borderId="0" xfId="0" applyNumberFormat="1" applyFont="1" applyFill="1" applyAlignment="1">
      <alignment horizontal="center"/>
    </xf>
    <xf numFmtId="0" fontId="17" fillId="0" borderId="0" xfId="1" applyFont="1" applyFill="1" applyBorder="1"/>
    <xf numFmtId="167" fontId="23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17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31" fillId="0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17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7" fillId="0" borderId="0" xfId="0" applyFont="1" applyAlignment="1">
      <alignment wrapText="1"/>
    </xf>
    <xf numFmtId="0" fontId="0" fillId="38" borderId="0" xfId="0" applyFill="1" applyAlignment="1">
      <alignment horizontal="center"/>
    </xf>
    <xf numFmtId="0" fontId="0" fillId="38" borderId="0" xfId="0" applyFill="1"/>
    <xf numFmtId="0" fontId="0" fillId="38" borderId="22" xfId="0" applyFill="1" applyBorder="1"/>
    <xf numFmtId="0" fontId="22" fillId="38" borderId="0" xfId="0" applyFont="1" applyFill="1" applyAlignment="1">
      <alignment horizontal="center"/>
    </xf>
    <xf numFmtId="0" fontId="22" fillId="38" borderId="0" xfId="0" applyFont="1" applyFill="1"/>
    <xf numFmtId="0" fontId="0" fillId="39" borderId="0" xfId="0" applyFill="1"/>
    <xf numFmtId="0" fontId="17" fillId="0" borderId="0" xfId="0" applyFont="1" applyBorder="1"/>
    <xf numFmtId="0" fontId="0" fillId="37" borderId="0" xfId="0" applyFill="1" applyAlignment="1">
      <alignment horizontal="center"/>
    </xf>
    <xf numFmtId="0" fontId="0" fillId="36" borderId="0" xfId="0" applyFill="1" applyBorder="1" applyAlignment="1">
      <alignment horizontal="center" vertical="center"/>
    </xf>
    <xf numFmtId="165" fontId="0" fillId="36" borderId="0" xfId="0" applyNumberFormat="1" applyFill="1" applyBorder="1" applyAlignment="1">
      <alignment horizontal="center"/>
    </xf>
    <xf numFmtId="0" fontId="22" fillId="36" borderId="0" xfId="0" applyFont="1" applyFill="1" applyBorder="1" applyAlignment="1">
      <alignment horizontal="center" vertical="center"/>
    </xf>
    <xf numFmtId="0" fontId="22" fillId="36" borderId="0" xfId="0" applyFont="1" applyFill="1"/>
    <xf numFmtId="0" fontId="22" fillId="36" borderId="0" xfId="0" applyFont="1" applyFill="1" applyBorder="1"/>
    <xf numFmtId="2" fontId="22" fillId="36" borderId="0" xfId="0" applyNumberFormat="1" applyFont="1" applyFill="1" applyBorder="1" applyAlignment="1">
      <alignment horizontal="center"/>
    </xf>
    <xf numFmtId="0" fontId="22" fillId="36" borderId="0" xfId="0" quotePrefix="1" applyFont="1" applyFill="1" applyBorder="1" applyAlignment="1">
      <alignment horizontal="center"/>
    </xf>
    <xf numFmtId="165" fontId="22" fillId="36" borderId="0" xfId="0" applyNumberFormat="1" applyFont="1" applyFill="1" applyBorder="1" applyAlignment="1">
      <alignment horizontal="center"/>
    </xf>
    <xf numFmtId="10" fontId="22" fillId="36" borderId="0" xfId="0" applyNumberFormat="1" applyFont="1" applyFill="1" applyBorder="1" applyAlignment="1">
      <alignment horizontal="center" vertical="center"/>
    </xf>
    <xf numFmtId="165" fontId="22" fillId="36" borderId="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1" xfId="0" applyFont="1" applyBorder="1" applyAlignment="1">
      <alignment horizontal="center" vertical="center"/>
    </xf>
    <xf numFmtId="10" fontId="0" fillId="0" borderId="24" xfId="0" applyNumberFormat="1" applyFont="1" applyBorder="1" applyAlignment="1">
      <alignment horizontal="center" vertical="center"/>
    </xf>
    <xf numFmtId="10" fontId="0" fillId="0" borderId="27" xfId="0" applyNumberFormat="1" applyFont="1" applyBorder="1" applyAlignment="1">
      <alignment horizontal="center" vertical="center"/>
    </xf>
    <xf numFmtId="167" fontId="0" fillId="0" borderId="28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Border="1"/>
    <xf numFmtId="0" fontId="0" fillId="0" borderId="24" xfId="0" applyBorder="1"/>
    <xf numFmtId="0" fontId="0" fillId="0" borderId="25" xfId="0" applyBorder="1"/>
    <xf numFmtId="0" fontId="17" fillId="0" borderId="25" xfId="1" applyFont="1" applyFill="1" applyBorder="1" applyAlignment="1">
      <alignment horizontal="center"/>
    </xf>
    <xf numFmtId="0" fontId="0" fillId="0" borderId="26" xfId="0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/>
    <xf numFmtId="165" fontId="0" fillId="0" borderId="0" xfId="0" applyNumberFormat="1" applyBorder="1"/>
    <xf numFmtId="0" fontId="0" fillId="0" borderId="28" xfId="0" applyFill="1" applyBorder="1" applyAlignment="1">
      <alignment horizontal="center"/>
    </xf>
    <xf numFmtId="0" fontId="0" fillId="0" borderId="28" xfId="0" applyBorder="1"/>
    <xf numFmtId="165" fontId="1" fillId="0" borderId="11" xfId="0" applyNumberFormat="1" applyFont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0" fillId="40" borderId="0" xfId="0" applyFill="1"/>
    <xf numFmtId="0" fontId="0" fillId="0" borderId="0" xfId="0" applyAlignment="1">
      <alignment horizontal="center"/>
    </xf>
    <xf numFmtId="0" fontId="0" fillId="0" borderId="32" xfId="0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8" fillId="0" borderId="32" xfId="0" applyFont="1" applyBorder="1" applyAlignment="1">
      <alignment horizontal="center"/>
    </xf>
    <xf numFmtId="2" fontId="22" fillId="0" borderId="13" xfId="0" applyNumberFormat="1" applyFont="1" applyBorder="1" applyAlignment="1">
      <alignment horizontal="center"/>
    </xf>
    <xf numFmtId="2" fontId="22" fillId="0" borderId="33" xfId="0" applyNumberFormat="1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0" fillId="0" borderId="12" xfId="0" applyBorder="1"/>
    <xf numFmtId="2" fontId="22" fillId="0" borderId="1" xfId="0" applyNumberFormat="1" applyFont="1" applyFill="1" applyBorder="1" applyAlignment="1">
      <alignment horizontal="center"/>
    </xf>
    <xf numFmtId="0" fontId="22" fillId="0" borderId="12" xfId="0" applyFont="1" applyBorder="1"/>
    <xf numFmtId="0" fontId="22" fillId="0" borderId="1" xfId="0" applyFont="1" applyBorder="1"/>
    <xf numFmtId="2" fontId="31" fillId="0" borderId="0" xfId="0" applyNumberFormat="1" applyFont="1" applyFill="1" applyBorder="1" applyAlignment="1">
      <alignment horizontal="center"/>
    </xf>
    <xf numFmtId="2" fontId="17" fillId="0" borderId="12" xfId="0" applyNumberFormat="1" applyFont="1" applyBorder="1"/>
    <xf numFmtId="2" fontId="17" fillId="0" borderId="0" xfId="0" applyNumberFormat="1" applyFont="1" applyBorder="1"/>
    <xf numFmtId="2" fontId="22" fillId="0" borderId="12" xfId="0" applyNumberFormat="1" applyFont="1" applyBorder="1"/>
    <xf numFmtId="2" fontId="22" fillId="0" borderId="0" xfId="0" applyNumberFormat="1" applyFont="1" applyBorder="1"/>
    <xf numFmtId="0" fontId="22" fillId="0" borderId="27" xfId="0" applyFont="1" applyBorder="1"/>
    <xf numFmtId="0" fontId="22" fillId="0" borderId="28" xfId="0" applyFont="1" applyBorder="1"/>
    <xf numFmtId="0" fontId="22" fillId="0" borderId="29" xfId="0" applyFont="1" applyBorder="1"/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2" fillId="0" borderId="0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2" fontId="31" fillId="0" borderId="0" xfId="0" applyNumberFormat="1" applyFont="1" applyFill="1" applyAlignment="1">
      <alignment horizontal="center" vertical="top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0" fillId="0" borderId="11" xfId="0" applyNumberFormat="1" applyBorder="1" applyAlignment="1">
      <alignment horizontal="center"/>
    </xf>
    <xf numFmtId="167" fontId="0" fillId="0" borderId="11" xfId="0" applyNumberFormat="1" applyFont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0" fontId="0" fillId="0" borderId="25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6000000}"/>
    <cellStyle name="Normal 3" xfId="2" xr:uid="{00000000-0005-0000-0000-000027000000}"/>
    <cellStyle name="Normal 3 2" xfId="45" xr:uid="{00000000-0005-0000-0000-000028000000}"/>
    <cellStyle name="Normal_Step Reaction" xfId="46" xr:uid="{00000000-0005-0000-0000-000029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Hand Grip Strength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'Hand-Arm Strength'!$A$2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Strength'!$C$2:$D$2</c:f>
              <c:numCache>
                <c:formatCode>0.00</c:formatCode>
                <c:ptCount val="2"/>
                <c:pt idx="0">
                  <c:v>24.6</c:v>
                </c:pt>
                <c:pt idx="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0-4E73-A6DE-F87253AE5A9E}"/>
            </c:ext>
          </c:extLst>
        </c:ser>
        <c:ser>
          <c:idx val="1"/>
          <c:order val="1"/>
          <c:tx>
            <c:strRef>
              <c:f>'Hand-Arm Strength'!$A$3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Strength'!$C$3:$D$3</c:f>
              <c:numCache>
                <c:formatCode>0.00</c:formatCode>
                <c:ptCount val="2"/>
                <c:pt idx="0">
                  <c:v>45.766666666666673</c:v>
                </c:pt>
                <c:pt idx="1">
                  <c:v>51.666666666666664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0-4E73-A6DE-F87253AE5A9E}"/>
            </c:ext>
          </c:extLst>
        </c:ser>
        <c:ser>
          <c:idx val="2"/>
          <c:order val="2"/>
          <c:tx>
            <c:strRef>
              <c:f>'Hand-Arm Strength'!$A$4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Strength'!$C$4:$D$4</c:f>
              <c:numCache>
                <c:formatCode>0.00</c:formatCode>
                <c:ptCount val="2"/>
                <c:pt idx="0">
                  <c:v>17.333333333333332</c:v>
                </c:pt>
                <c:pt idx="1">
                  <c:v>23.333333333333332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0-4E73-A6DE-F87253AE5A9E}"/>
            </c:ext>
          </c:extLst>
        </c:ser>
        <c:ser>
          <c:idx val="3"/>
          <c:order val="3"/>
          <c:tx>
            <c:strRef>
              <c:f>'Hand-Arm Strength'!$A$5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Strength'!$C$5:$D$5</c:f>
              <c:numCache>
                <c:formatCode>0.00</c:formatCode>
                <c:ptCount val="2"/>
                <c:pt idx="0">
                  <c:v>19.3</c:v>
                </c:pt>
                <c:pt idx="1">
                  <c:v>22.666666666666668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20-4E73-A6DE-F87253AE5A9E}"/>
            </c:ext>
          </c:extLst>
        </c:ser>
        <c:ser>
          <c:idx val="4"/>
          <c:order val="4"/>
          <c:tx>
            <c:strRef>
              <c:f>'Hand-Arm Strength'!$A$6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Strength'!$C$6:$D$6</c:f>
              <c:numCache>
                <c:formatCode>0.00</c:formatCode>
                <c:ptCount val="2"/>
                <c:pt idx="0">
                  <c:v>45.5</c:v>
                </c:pt>
                <c:pt idx="1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20-4E73-A6DE-F87253AE5A9E}"/>
            </c:ext>
          </c:extLst>
        </c:ser>
        <c:ser>
          <c:idx val="5"/>
          <c:order val="5"/>
          <c:tx>
            <c:strRef>
              <c:f>'Hand-Arm Strength'!$A$7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Strength'!$C$7:$D$7</c:f>
              <c:numCache>
                <c:formatCode>0.00</c:formatCode>
                <c:ptCount val="2"/>
                <c:pt idx="0">
                  <c:v>31.333333333333332</c:v>
                </c:pt>
                <c:pt idx="1">
                  <c:v>27.333333333333332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20-4E73-A6DE-F87253AE5A9E}"/>
            </c:ext>
          </c:extLst>
        </c:ser>
        <c:ser>
          <c:idx val="6"/>
          <c:order val="6"/>
          <c:tx>
            <c:strRef>
              <c:f>'Hand-Arm Strength'!$A$8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Strength'!$C$8:$D$8</c:f>
              <c:numCache>
                <c:formatCode>0.00</c:formatCode>
                <c:ptCount val="2"/>
                <c:pt idx="0">
                  <c:v>38.666666666666664</c:v>
                </c:pt>
                <c:pt idx="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20-4E73-A6DE-F87253AE5A9E}"/>
            </c:ext>
          </c:extLst>
        </c:ser>
        <c:ser>
          <c:idx val="7"/>
          <c:order val="7"/>
          <c:tx>
            <c:strRef>
              <c:f>'Hand-Arm Strength'!$A$9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Strength'!$C$9:$D$9</c:f>
              <c:numCache>
                <c:formatCode>0.00</c:formatCode>
                <c:ptCount val="2"/>
                <c:pt idx="0">
                  <c:v>26.333333333333332</c:v>
                </c:pt>
                <c:pt idx="1">
                  <c:v>26.666666666666668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20-4E73-A6DE-F87253AE5A9E}"/>
            </c:ext>
          </c:extLst>
        </c:ser>
        <c:ser>
          <c:idx val="8"/>
          <c:order val="8"/>
          <c:tx>
            <c:strRef>
              <c:f>'Hand-Arm Strength'!$A$11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Strength'!$C$11:$D$11</c:f>
              <c:numCache>
                <c:formatCode>0.00</c:formatCode>
                <c:ptCount val="2"/>
                <c:pt idx="0">
                  <c:v>37.333333333333336</c:v>
                </c:pt>
                <c:pt idx="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20-4E73-A6DE-F87253AE5A9E}"/>
            </c:ext>
          </c:extLst>
        </c:ser>
        <c:ser>
          <c:idx val="9"/>
          <c:order val="9"/>
          <c:tx>
            <c:strRef>
              <c:f>'Hand-Arm Strength'!$A$12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Strength'!$C$12:$D$12</c:f>
              <c:numCache>
                <c:formatCode>0.00</c:formatCode>
                <c:ptCount val="2"/>
                <c:pt idx="0">
                  <c:v>37.333333333333336</c:v>
                </c:pt>
                <c:pt idx="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20-4E73-A6DE-F87253AE5A9E}"/>
            </c:ext>
          </c:extLst>
        </c:ser>
        <c:ser>
          <c:idx val="10"/>
          <c:order val="10"/>
          <c:tx>
            <c:strRef>
              <c:f>'Hand-Arm Strength'!$A$13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Strength'!$C$13:$D$13</c:f>
              <c:numCache>
                <c:formatCode>0.00</c:formatCode>
                <c:ptCount val="2"/>
                <c:pt idx="0">
                  <c:v>51.666666666666664</c:v>
                </c:pt>
                <c:pt idx="1">
                  <c:v>54.33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20-4E73-A6DE-F87253AE5A9E}"/>
            </c:ext>
          </c:extLst>
        </c:ser>
        <c:ser>
          <c:idx val="11"/>
          <c:order val="11"/>
          <c:tx>
            <c:strRef>
              <c:f>'Hand-Arm Strength'!$A$14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Strength'!$C$14:$D$14</c:f>
              <c:numCache>
                <c:formatCode>0.00</c:formatCode>
                <c:ptCount val="2"/>
                <c:pt idx="0">
                  <c:v>26.666666666666668</c:v>
                </c:pt>
                <c:pt idx="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20-4E73-A6DE-F87253AE5A9E}"/>
            </c:ext>
          </c:extLst>
        </c:ser>
        <c:ser>
          <c:idx val="12"/>
          <c:order val="12"/>
          <c:tx>
            <c:strRef>
              <c:f>'Hand-Arm Strength'!$A$15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'Hand-Arm Strength'!$C$1:$D$1</c:f>
              <c:strCache>
                <c:ptCount val="2"/>
                <c:pt idx="0">
                  <c:v>HandGripAvPre</c:v>
                </c:pt>
                <c:pt idx="1">
                  <c:v>HandGripAvPost</c:v>
                </c:pt>
              </c:strCache>
            </c:strRef>
          </c:cat>
          <c:val>
            <c:numRef>
              <c:f>'Hand-Arm Strength'!$C$15:$D$15</c:f>
              <c:numCache>
                <c:formatCode>General</c:formatCode>
                <c:ptCount val="2"/>
                <c:pt idx="0">
                  <c:v>36</c:v>
                </c:pt>
                <c:pt idx="1">
                  <c:v>44.33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F20-4E73-A6DE-F87253AE5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323928"/>
        <c:axId val="485326280"/>
      </c:lineChart>
      <c:catAx>
        <c:axId val="48532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26280"/>
        <c:crosses val="autoZero"/>
        <c:auto val="1"/>
        <c:lblAlgn val="ctr"/>
        <c:lblOffset val="100"/>
        <c:noMultiLvlLbl val="0"/>
      </c:catAx>
      <c:valAx>
        <c:axId val="485326280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2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Short Delay Free Recall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NIH!$E$2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CVLT!$J$2:$K$2</c:f>
              <c:numCache>
                <c:formatCode>General</c:formatCode>
                <c:ptCount val="2"/>
                <c:pt idx="0">
                  <c:v>12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8-4F87-A832-AACF2F7A3423}"/>
            </c:ext>
          </c:extLst>
        </c:ser>
        <c:ser>
          <c:idx val="1"/>
          <c:order val="1"/>
          <c:tx>
            <c:strRef>
              <c:f>NIH!$E$3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CVLT!$J$3:$K$3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8-4F87-A832-AACF2F7A3423}"/>
            </c:ext>
          </c:extLst>
        </c:ser>
        <c:ser>
          <c:idx val="2"/>
          <c:order val="2"/>
          <c:tx>
            <c:strRef>
              <c:f>NIH!$E$4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CVLT!$J$4:$K$4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8-4F87-A832-AACF2F7A3423}"/>
            </c:ext>
          </c:extLst>
        </c:ser>
        <c:ser>
          <c:idx val="3"/>
          <c:order val="3"/>
          <c:tx>
            <c:strRef>
              <c:f>NIH!$E$5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CVLT!$J$5:$K$5</c:f>
              <c:numCache>
                <c:formatCode>General</c:formatCode>
                <c:ptCount val="2"/>
                <c:pt idx="0">
                  <c:v>15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58-4F87-A832-AACF2F7A3423}"/>
            </c:ext>
          </c:extLst>
        </c:ser>
        <c:ser>
          <c:idx val="4"/>
          <c:order val="4"/>
          <c:tx>
            <c:strRef>
              <c:f>NIH!$E$6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CVLT!$J$6:$K$6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58-4F87-A832-AACF2F7A3423}"/>
            </c:ext>
          </c:extLst>
        </c:ser>
        <c:ser>
          <c:idx val="5"/>
          <c:order val="5"/>
          <c:tx>
            <c:strRef>
              <c:f>NIH!$E$7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CVLT!$J$7:$K$7</c:f>
              <c:numCache>
                <c:formatCode>General</c:formatCode>
                <c:ptCount val="2"/>
                <c:pt idx="0">
                  <c:v>7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58-4F87-A832-AACF2F7A3423}"/>
            </c:ext>
          </c:extLst>
        </c:ser>
        <c:ser>
          <c:idx val="6"/>
          <c:order val="6"/>
          <c:tx>
            <c:strRef>
              <c:f>NIH!$E$8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CVLT!$J$8:$K$8</c:f>
              <c:numCache>
                <c:formatCode>General</c:formatCode>
                <c:ptCount val="2"/>
                <c:pt idx="0">
                  <c:v>9</c:v>
                </c:pt>
                <c:pt idx="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58-4F87-A832-AACF2F7A3423}"/>
            </c:ext>
          </c:extLst>
        </c:ser>
        <c:ser>
          <c:idx val="7"/>
          <c:order val="7"/>
          <c:tx>
            <c:strRef>
              <c:f>NIH!$E$9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CVLT!$J$9:$K$9</c:f>
              <c:numCache>
                <c:formatCode>General</c:formatCode>
                <c:ptCount val="2"/>
                <c:pt idx="0">
                  <c:v>14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58-4F87-A832-AACF2F7A3423}"/>
            </c:ext>
          </c:extLst>
        </c:ser>
        <c:ser>
          <c:idx val="8"/>
          <c:order val="8"/>
          <c:tx>
            <c:strRef>
              <c:f>NIH!$E$10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CVLT!$J$10:$K$10</c:f>
              <c:numCache>
                <c:formatCode>General</c:formatCode>
                <c:ptCount val="2"/>
                <c:pt idx="0">
                  <c:v>13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58-4F87-A832-AACF2F7A3423}"/>
            </c:ext>
          </c:extLst>
        </c:ser>
        <c:ser>
          <c:idx val="9"/>
          <c:order val="9"/>
          <c:tx>
            <c:strRef>
              <c:f>NIH!$E$11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CVLT!$J$11:$K$11</c:f>
              <c:numCache>
                <c:formatCode>General</c:formatCode>
                <c:ptCount val="2"/>
                <c:pt idx="0">
                  <c:v>14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58-4F87-A832-AACF2F7A3423}"/>
            </c:ext>
          </c:extLst>
        </c:ser>
        <c:ser>
          <c:idx val="10"/>
          <c:order val="10"/>
          <c:tx>
            <c:strRef>
              <c:f>NIH!$E$12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CVLT!$J$12:$K$12</c:f>
              <c:numCache>
                <c:formatCode>General</c:formatCode>
                <c:ptCount val="2"/>
                <c:pt idx="0">
                  <c:v>10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58-4F87-A832-AACF2F7A3423}"/>
            </c:ext>
          </c:extLst>
        </c:ser>
        <c:ser>
          <c:idx val="11"/>
          <c:order val="11"/>
          <c:tx>
            <c:strRef>
              <c:f>NIH!$E$13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CVLT!$J$13:$K$13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658-4F87-A832-AACF2F7A3423}"/>
            </c:ext>
          </c:extLst>
        </c:ser>
        <c:ser>
          <c:idx val="12"/>
          <c:order val="12"/>
          <c:tx>
            <c:strRef>
              <c:f>NIH!$E$14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CVLT!$J$14:$K$14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658-4F87-A832-AACF2F7A3423}"/>
            </c:ext>
          </c:extLst>
        </c:ser>
        <c:ser>
          <c:idx val="13"/>
          <c:order val="13"/>
          <c:tx>
            <c:strRef>
              <c:f>NIH!$E$15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CVLT!$J$1:$K$1</c:f>
              <c:strCache>
                <c:ptCount val="2"/>
                <c:pt idx="0">
                  <c:v>SD Pre Free</c:v>
                </c:pt>
                <c:pt idx="1">
                  <c:v>SD Post Free</c:v>
                </c:pt>
              </c:strCache>
            </c:strRef>
          </c:cat>
          <c:val>
            <c:numRef>
              <c:f>CVLT!$J$15:$K$15</c:f>
              <c:numCache>
                <c:formatCode>General</c:formatCode>
                <c:ptCount val="2"/>
                <c:pt idx="0">
                  <c:v>4</c:v>
                </c:pt>
                <c:pt idx="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658-4F87-A832-AACF2F7A3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909896"/>
        <c:axId val="483910288"/>
      </c:lineChart>
      <c:catAx>
        <c:axId val="48390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10288"/>
        <c:crosses val="autoZero"/>
        <c:auto val="1"/>
        <c:lblAlgn val="ctr"/>
        <c:lblOffset val="100"/>
        <c:noMultiLvlLbl val="0"/>
      </c:catAx>
      <c:valAx>
        <c:axId val="483910288"/>
        <c:scaling>
          <c:orientation val="minMax"/>
          <c:max val="17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0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Long Delay Free Recall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NIH!$E$2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CVLT!$N$2:$O$2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8-4C83-A2C0-E8F060E1E6F7}"/>
            </c:ext>
          </c:extLst>
        </c:ser>
        <c:ser>
          <c:idx val="1"/>
          <c:order val="1"/>
          <c:tx>
            <c:strRef>
              <c:f>NIH!$E$3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CVLT!$N$3:$O$3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8-4C83-A2C0-E8F060E1E6F7}"/>
            </c:ext>
          </c:extLst>
        </c:ser>
        <c:ser>
          <c:idx val="2"/>
          <c:order val="2"/>
          <c:tx>
            <c:strRef>
              <c:f>NIH!$E$4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CVLT!$N$4:$O$4</c:f>
              <c:numCache>
                <c:formatCode>General</c:formatCode>
                <c:ptCount val="2"/>
                <c:pt idx="0">
                  <c:v>9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8-4C83-A2C0-E8F060E1E6F7}"/>
            </c:ext>
          </c:extLst>
        </c:ser>
        <c:ser>
          <c:idx val="3"/>
          <c:order val="3"/>
          <c:tx>
            <c:strRef>
              <c:f>NIH!$E$5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CVLT!$N$5:$O$5</c:f>
              <c:numCache>
                <c:formatCode>General</c:formatCode>
                <c:ptCount val="2"/>
                <c:pt idx="0">
                  <c:v>11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8-4C83-A2C0-E8F060E1E6F7}"/>
            </c:ext>
          </c:extLst>
        </c:ser>
        <c:ser>
          <c:idx val="4"/>
          <c:order val="4"/>
          <c:tx>
            <c:strRef>
              <c:f>NIH!$E$6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CVLT!$N$6:$O$6</c:f>
              <c:numCache>
                <c:formatCode>General</c:formatCode>
                <c:ptCount val="2"/>
                <c:pt idx="0">
                  <c:v>11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8-4C83-A2C0-E8F060E1E6F7}"/>
            </c:ext>
          </c:extLst>
        </c:ser>
        <c:ser>
          <c:idx val="5"/>
          <c:order val="5"/>
          <c:tx>
            <c:strRef>
              <c:f>NIH!$E$7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CVLT!$N$7:$O$7</c:f>
              <c:numCache>
                <c:formatCode>General</c:formatCode>
                <c:ptCount val="2"/>
                <c:pt idx="0">
                  <c:v>6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8-4C83-A2C0-E8F060E1E6F7}"/>
            </c:ext>
          </c:extLst>
        </c:ser>
        <c:ser>
          <c:idx val="6"/>
          <c:order val="6"/>
          <c:tx>
            <c:strRef>
              <c:f>NIH!$E$8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CVLT!$N$8:$O$8</c:f>
              <c:numCache>
                <c:formatCode>General</c:formatCode>
                <c:ptCount val="2"/>
                <c:pt idx="0">
                  <c:v>10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28-4C83-A2C0-E8F060E1E6F7}"/>
            </c:ext>
          </c:extLst>
        </c:ser>
        <c:ser>
          <c:idx val="7"/>
          <c:order val="7"/>
          <c:tx>
            <c:strRef>
              <c:f>NIH!$E$9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CVLT!$N$9:$O$9</c:f>
              <c:numCache>
                <c:formatCode>General</c:formatCode>
                <c:ptCount val="2"/>
                <c:pt idx="0">
                  <c:v>12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28-4C83-A2C0-E8F060E1E6F7}"/>
            </c:ext>
          </c:extLst>
        </c:ser>
        <c:ser>
          <c:idx val="8"/>
          <c:order val="8"/>
          <c:tx>
            <c:strRef>
              <c:f>NIH!$E$10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CVLT!$N$10:$O$10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28-4C83-A2C0-E8F060E1E6F7}"/>
            </c:ext>
          </c:extLst>
        </c:ser>
        <c:ser>
          <c:idx val="9"/>
          <c:order val="9"/>
          <c:tx>
            <c:strRef>
              <c:f>NIH!$E$11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CVLT!$N$11:$O$11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28-4C83-A2C0-E8F060E1E6F7}"/>
            </c:ext>
          </c:extLst>
        </c:ser>
        <c:ser>
          <c:idx val="10"/>
          <c:order val="10"/>
          <c:tx>
            <c:strRef>
              <c:f>NIH!$E$12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CVLT!$N$12:$O$12</c:f>
              <c:numCache>
                <c:formatCode>General</c:formatCode>
                <c:ptCount val="2"/>
                <c:pt idx="0">
                  <c:v>14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28-4C83-A2C0-E8F060E1E6F7}"/>
            </c:ext>
          </c:extLst>
        </c:ser>
        <c:ser>
          <c:idx val="11"/>
          <c:order val="11"/>
          <c:tx>
            <c:strRef>
              <c:f>NIH!$E$13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CVLT!$N$13:$O$13</c:f>
              <c:numCache>
                <c:formatCode>General</c:formatCode>
                <c:ptCount val="2"/>
                <c:pt idx="0">
                  <c:v>10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28-4C83-A2C0-E8F060E1E6F7}"/>
            </c:ext>
          </c:extLst>
        </c:ser>
        <c:ser>
          <c:idx val="12"/>
          <c:order val="12"/>
          <c:tx>
            <c:strRef>
              <c:f>NIH!$E$14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CVLT!$N$14:$O$14</c:f>
              <c:numCache>
                <c:formatCode>General</c:formatCode>
                <c:ptCount val="2"/>
                <c:pt idx="0">
                  <c:v>9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28-4C83-A2C0-E8F060E1E6F7}"/>
            </c:ext>
          </c:extLst>
        </c:ser>
        <c:ser>
          <c:idx val="13"/>
          <c:order val="13"/>
          <c:tx>
            <c:strRef>
              <c:f>NIH!$E$15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CVLT!$N$1:$O$1</c:f>
              <c:strCache>
                <c:ptCount val="2"/>
                <c:pt idx="0">
                  <c:v>LD Pre Free</c:v>
                </c:pt>
                <c:pt idx="1">
                  <c:v>LD Post Free</c:v>
                </c:pt>
              </c:strCache>
            </c:strRef>
          </c:cat>
          <c:val>
            <c:numRef>
              <c:f>CVLT!$N$15:$O$15</c:f>
              <c:numCache>
                <c:formatCode>General</c:formatCode>
                <c:ptCount val="2"/>
                <c:pt idx="0">
                  <c:v>6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28-4C83-A2C0-E8F060E1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94824"/>
        <c:axId val="240195216"/>
      </c:lineChart>
      <c:catAx>
        <c:axId val="24019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195216"/>
        <c:crosses val="autoZero"/>
        <c:auto val="1"/>
        <c:lblAlgn val="ctr"/>
        <c:lblOffset val="100"/>
        <c:noMultiLvlLbl val="0"/>
      </c:catAx>
      <c:valAx>
        <c:axId val="240195216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19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Card Sorting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NIH!$J$2:$K$2</c:f>
              <c:numCache>
                <c:formatCode>General</c:formatCode>
                <c:ptCount val="2"/>
                <c:pt idx="0">
                  <c:v>30</c:v>
                </c:pt>
                <c:pt idx="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C-4B18-95E3-44578E645A4F}"/>
            </c:ext>
          </c:extLst>
        </c:ser>
        <c:ser>
          <c:idx val="1"/>
          <c:order val="1"/>
          <c:tx>
            <c:strRef>
              <c:f>NIH!$A$3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NIH!$J$3:$K$3</c:f>
              <c:numCache>
                <c:formatCode>General</c:formatCode>
                <c:ptCount val="2"/>
                <c:pt idx="0">
                  <c:v>45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C-4B18-95E3-44578E645A4F}"/>
            </c:ext>
          </c:extLst>
        </c:ser>
        <c:ser>
          <c:idx val="2"/>
          <c:order val="2"/>
          <c:tx>
            <c:strRef>
              <c:f>NIH!$A$4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NIH!$J$4:$K$4</c:f>
              <c:numCache>
                <c:formatCode>General</c:formatCode>
                <c:ptCount val="2"/>
                <c:pt idx="0">
                  <c:v>58</c:v>
                </c:pt>
                <c:pt idx="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C-4B18-95E3-44578E645A4F}"/>
            </c:ext>
          </c:extLst>
        </c:ser>
        <c:ser>
          <c:idx val="3"/>
          <c:order val="3"/>
          <c:tx>
            <c:strRef>
              <c:f>NIH!$A$5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NIH!$J$5:$K$5</c:f>
              <c:numCache>
                <c:formatCode>General</c:formatCode>
                <c:ptCount val="2"/>
                <c:pt idx="0">
                  <c:v>42</c:v>
                </c:pt>
                <c:pt idx="1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3C-4B18-95E3-44578E645A4F}"/>
            </c:ext>
          </c:extLst>
        </c:ser>
        <c:ser>
          <c:idx val="4"/>
          <c:order val="4"/>
          <c:tx>
            <c:strRef>
              <c:f>NIH!$A$6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NIH!$J$6:$K$6</c:f>
              <c:numCache>
                <c:formatCode>General</c:formatCode>
                <c:ptCount val="2"/>
                <c:pt idx="0">
                  <c:v>62</c:v>
                </c:pt>
                <c:pt idx="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3C-4B18-95E3-44578E645A4F}"/>
            </c:ext>
          </c:extLst>
        </c:ser>
        <c:ser>
          <c:idx val="5"/>
          <c:order val="5"/>
          <c:tx>
            <c:strRef>
              <c:f>NIH!$A$7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NIH!$J$7:$K$7</c:f>
              <c:numCache>
                <c:formatCode>General</c:formatCode>
                <c:ptCount val="2"/>
                <c:pt idx="0">
                  <c:v>51</c:v>
                </c:pt>
                <c:pt idx="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3C-4B18-95E3-44578E645A4F}"/>
            </c:ext>
          </c:extLst>
        </c:ser>
        <c:ser>
          <c:idx val="6"/>
          <c:order val="6"/>
          <c:tx>
            <c:strRef>
              <c:f>NIH!$A$8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NIH!$J$8:$K$8</c:f>
              <c:numCache>
                <c:formatCode>General</c:formatCode>
                <c:ptCount val="2"/>
                <c:pt idx="0">
                  <c:v>48</c:v>
                </c:pt>
                <c:pt idx="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3C-4B18-95E3-44578E645A4F}"/>
            </c:ext>
          </c:extLst>
        </c:ser>
        <c:ser>
          <c:idx val="7"/>
          <c:order val="7"/>
          <c:tx>
            <c:strRef>
              <c:f>NIH!$A$9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NIH!$J$9:$K$9</c:f>
              <c:numCache>
                <c:formatCode>General</c:formatCode>
                <c:ptCount val="2"/>
                <c:pt idx="0">
                  <c:v>81</c:v>
                </c:pt>
                <c:pt idx="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3C-4B18-95E3-44578E645A4F}"/>
            </c:ext>
          </c:extLst>
        </c:ser>
        <c:ser>
          <c:idx val="8"/>
          <c:order val="8"/>
          <c:tx>
            <c:strRef>
              <c:f>NIH!$A$10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NIH!$J$10:$K$10</c:f>
              <c:numCache>
                <c:formatCode>General</c:formatCode>
                <c:ptCount val="2"/>
                <c:pt idx="0">
                  <c:v>50</c:v>
                </c:pt>
                <c:pt idx="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3C-4B18-95E3-44578E645A4F}"/>
            </c:ext>
          </c:extLst>
        </c:ser>
        <c:ser>
          <c:idx val="9"/>
          <c:order val="9"/>
          <c:tx>
            <c:strRef>
              <c:f>NIH!$A$11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NIH!$J$11:$K$11</c:f>
              <c:numCache>
                <c:formatCode>General</c:formatCode>
                <c:ptCount val="2"/>
                <c:pt idx="0">
                  <c:v>56</c:v>
                </c:pt>
                <c:pt idx="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3C-4B18-95E3-44578E645A4F}"/>
            </c:ext>
          </c:extLst>
        </c:ser>
        <c:ser>
          <c:idx val="10"/>
          <c:order val="10"/>
          <c:tx>
            <c:strRef>
              <c:f>NIH!$A$12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NIH!$J$12:$K$12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3C-4B18-95E3-44578E645A4F}"/>
            </c:ext>
          </c:extLst>
        </c:ser>
        <c:ser>
          <c:idx val="11"/>
          <c:order val="11"/>
          <c:tx>
            <c:strRef>
              <c:f>NIH!$A$13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NIH!$J$13:$K$13</c:f>
              <c:numCache>
                <c:formatCode>General</c:formatCode>
                <c:ptCount val="2"/>
                <c:pt idx="0">
                  <c:v>53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63C-4B18-95E3-44578E645A4F}"/>
            </c:ext>
          </c:extLst>
        </c:ser>
        <c:ser>
          <c:idx val="12"/>
          <c:order val="12"/>
          <c:tx>
            <c:strRef>
              <c:f>NIH!$A$14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NIH!$J$14:$K$14</c:f>
              <c:numCache>
                <c:formatCode>General</c:formatCode>
                <c:ptCount val="2"/>
                <c:pt idx="0">
                  <c:v>48</c:v>
                </c:pt>
                <c:pt idx="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63C-4B18-95E3-44578E645A4F}"/>
            </c:ext>
          </c:extLst>
        </c:ser>
        <c:ser>
          <c:idx val="13"/>
          <c:order val="13"/>
          <c:tx>
            <c:strRef>
              <c:f>NIH!$A$15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NIH!$J$1:$K$1</c:f>
              <c:strCache>
                <c:ptCount val="2"/>
                <c:pt idx="0">
                  <c:v>CardSrtPre</c:v>
                </c:pt>
                <c:pt idx="1">
                  <c:v>CardSrtPost</c:v>
                </c:pt>
              </c:strCache>
            </c:strRef>
          </c:cat>
          <c:val>
            <c:numRef>
              <c:f>NIH!$J$15:$K$15</c:f>
              <c:numCache>
                <c:formatCode>General</c:formatCode>
                <c:ptCount val="2"/>
                <c:pt idx="0">
                  <c:v>44</c:v>
                </c:pt>
                <c:pt idx="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63C-4B18-95E3-44578E64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96000"/>
        <c:axId val="240196392"/>
      </c:lineChart>
      <c:catAx>
        <c:axId val="24019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196392"/>
        <c:crosses val="autoZero"/>
        <c:auto val="1"/>
        <c:lblAlgn val="ctr"/>
        <c:lblOffset val="100"/>
        <c:noMultiLvlLbl val="0"/>
      </c:catAx>
      <c:valAx>
        <c:axId val="240196392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19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Cognitive Composite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NIH!$V$2:$W$2</c:f>
              <c:numCache>
                <c:formatCode>General</c:formatCode>
                <c:ptCount val="2"/>
                <c:pt idx="0">
                  <c:v>43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9-4BA7-8022-D1C605A916F3}"/>
            </c:ext>
          </c:extLst>
        </c:ser>
        <c:ser>
          <c:idx val="1"/>
          <c:order val="1"/>
          <c:tx>
            <c:strRef>
              <c:f>NIH!$A$3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NIH!$V$3:$W$3</c:f>
              <c:numCache>
                <c:formatCode>General</c:formatCode>
                <c:ptCount val="2"/>
                <c:pt idx="0">
                  <c:v>50</c:v>
                </c:pt>
                <c:pt idx="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9-4BA7-8022-D1C605A916F3}"/>
            </c:ext>
          </c:extLst>
        </c:ser>
        <c:ser>
          <c:idx val="2"/>
          <c:order val="2"/>
          <c:tx>
            <c:strRef>
              <c:f>NIH!$A$4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NIH!$V$4:$W$4</c:f>
              <c:numCache>
                <c:formatCode>General</c:formatCode>
                <c:ptCount val="2"/>
                <c:pt idx="0">
                  <c:v>56</c:v>
                </c:pt>
                <c:pt idx="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9-4BA7-8022-D1C605A916F3}"/>
            </c:ext>
          </c:extLst>
        </c:ser>
        <c:ser>
          <c:idx val="3"/>
          <c:order val="3"/>
          <c:tx>
            <c:strRef>
              <c:f>NIH!$A$5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NIH!$V$5:$W$5</c:f>
              <c:numCache>
                <c:formatCode>General</c:formatCode>
                <c:ptCount val="2"/>
                <c:pt idx="0">
                  <c:v>44</c:v>
                </c:pt>
                <c:pt idx="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29-4BA7-8022-D1C605A916F3}"/>
            </c:ext>
          </c:extLst>
        </c:ser>
        <c:ser>
          <c:idx val="4"/>
          <c:order val="4"/>
          <c:tx>
            <c:strRef>
              <c:f>NIH!$A$6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NIH!$V$6:$W$6</c:f>
              <c:numCache>
                <c:formatCode>General</c:formatCode>
                <c:ptCount val="2"/>
                <c:pt idx="0">
                  <c:v>51</c:v>
                </c:pt>
                <c:pt idx="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29-4BA7-8022-D1C605A916F3}"/>
            </c:ext>
          </c:extLst>
        </c:ser>
        <c:ser>
          <c:idx val="5"/>
          <c:order val="5"/>
          <c:tx>
            <c:strRef>
              <c:f>NIH!$A$7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NIH!$V$7:$W$7</c:f>
              <c:numCache>
                <c:formatCode>General</c:formatCode>
                <c:ptCount val="2"/>
                <c:pt idx="0">
                  <c:v>43</c:v>
                </c:pt>
                <c:pt idx="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29-4BA7-8022-D1C605A916F3}"/>
            </c:ext>
          </c:extLst>
        </c:ser>
        <c:ser>
          <c:idx val="6"/>
          <c:order val="6"/>
          <c:tx>
            <c:strRef>
              <c:f>NIH!$A$8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NIH!$V$8:$W$8</c:f>
              <c:numCache>
                <c:formatCode>General</c:formatCode>
                <c:ptCount val="2"/>
                <c:pt idx="0">
                  <c:v>62</c:v>
                </c:pt>
                <c:pt idx="1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29-4BA7-8022-D1C605A916F3}"/>
            </c:ext>
          </c:extLst>
        </c:ser>
        <c:ser>
          <c:idx val="7"/>
          <c:order val="7"/>
          <c:tx>
            <c:strRef>
              <c:f>NIH!$A$9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NIH!$V$9:$W$9</c:f>
              <c:numCache>
                <c:formatCode>General</c:formatCode>
                <c:ptCount val="2"/>
                <c:pt idx="0">
                  <c:v>76</c:v>
                </c:pt>
                <c:pt idx="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29-4BA7-8022-D1C605A916F3}"/>
            </c:ext>
          </c:extLst>
        </c:ser>
        <c:ser>
          <c:idx val="8"/>
          <c:order val="8"/>
          <c:tx>
            <c:strRef>
              <c:f>NIH!$A$10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NIH!$V$10:$W$10</c:f>
              <c:numCache>
                <c:formatCode>General</c:formatCode>
                <c:ptCount val="2"/>
                <c:pt idx="0">
                  <c:v>52</c:v>
                </c:pt>
                <c:pt idx="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29-4BA7-8022-D1C605A916F3}"/>
            </c:ext>
          </c:extLst>
        </c:ser>
        <c:ser>
          <c:idx val="9"/>
          <c:order val="9"/>
          <c:tx>
            <c:strRef>
              <c:f>NIH!$A$11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NIH!$V$11:$W$11</c:f>
              <c:numCache>
                <c:formatCode>General</c:formatCode>
                <c:ptCount val="2"/>
                <c:pt idx="0">
                  <c:v>54</c:v>
                </c:pt>
                <c:pt idx="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29-4BA7-8022-D1C605A916F3}"/>
            </c:ext>
          </c:extLst>
        </c:ser>
        <c:ser>
          <c:idx val="10"/>
          <c:order val="10"/>
          <c:tx>
            <c:strRef>
              <c:f>NIH!$A$12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NIH!$V$12:$W$12</c:f>
              <c:numCache>
                <c:formatCode>General</c:formatCode>
                <c:ptCount val="2"/>
                <c:pt idx="0">
                  <c:v>34</c:v>
                </c:pt>
                <c:pt idx="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29-4BA7-8022-D1C605A916F3}"/>
            </c:ext>
          </c:extLst>
        </c:ser>
        <c:ser>
          <c:idx val="11"/>
          <c:order val="11"/>
          <c:tx>
            <c:strRef>
              <c:f>NIH!$A$13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NIH!$V$13:$W$13</c:f>
              <c:numCache>
                <c:formatCode>General</c:formatCode>
                <c:ptCount val="2"/>
                <c:pt idx="0">
                  <c:v>48</c:v>
                </c:pt>
                <c:pt idx="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229-4BA7-8022-D1C605A916F3}"/>
            </c:ext>
          </c:extLst>
        </c:ser>
        <c:ser>
          <c:idx val="12"/>
          <c:order val="12"/>
          <c:tx>
            <c:strRef>
              <c:f>NIH!$A$14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NIH!$V$14:$W$14</c:f>
              <c:numCache>
                <c:formatCode>General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229-4BA7-8022-D1C605A916F3}"/>
            </c:ext>
          </c:extLst>
        </c:ser>
        <c:ser>
          <c:idx val="13"/>
          <c:order val="13"/>
          <c:tx>
            <c:strRef>
              <c:f>NIH!$A$15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NIH!$V$1:$W$1</c:f>
              <c:strCache>
                <c:ptCount val="2"/>
                <c:pt idx="0">
                  <c:v>CogCompstePre</c:v>
                </c:pt>
                <c:pt idx="1">
                  <c:v>CogCompstePost</c:v>
                </c:pt>
              </c:strCache>
            </c:strRef>
          </c:cat>
          <c:val>
            <c:numRef>
              <c:f>NIH!$V$15:$W$15</c:f>
              <c:numCache>
                <c:formatCode>General</c:formatCode>
                <c:ptCount val="2"/>
                <c:pt idx="0">
                  <c:v>47</c:v>
                </c:pt>
                <c:pt idx="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29-4BA7-8022-D1C605A91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97176"/>
        <c:axId val="240197568"/>
      </c:lineChart>
      <c:catAx>
        <c:axId val="24019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197568"/>
        <c:crosses val="autoZero"/>
        <c:auto val="1"/>
        <c:lblAlgn val="ctr"/>
        <c:lblOffset val="100"/>
        <c:noMultiLvlLbl val="0"/>
      </c:catAx>
      <c:valAx>
        <c:axId val="240197568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197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NIH Sequential Memory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NIH!$E$2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NIH!$R$2:$S$2</c:f>
              <c:numCache>
                <c:formatCode>General</c:formatCode>
                <c:ptCount val="2"/>
                <c:pt idx="0">
                  <c:v>53</c:v>
                </c:pt>
                <c:pt idx="1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F-4EBA-909E-DE281713F41B}"/>
            </c:ext>
          </c:extLst>
        </c:ser>
        <c:ser>
          <c:idx val="1"/>
          <c:order val="1"/>
          <c:tx>
            <c:strRef>
              <c:f>NIH!$E$3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NIH!$R$3:$S$3</c:f>
              <c:numCache>
                <c:formatCode>General</c:formatCode>
                <c:ptCount val="2"/>
                <c:pt idx="0">
                  <c:v>46</c:v>
                </c:pt>
                <c:pt idx="1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F-4EBA-909E-DE281713F41B}"/>
            </c:ext>
          </c:extLst>
        </c:ser>
        <c:ser>
          <c:idx val="2"/>
          <c:order val="2"/>
          <c:tx>
            <c:strRef>
              <c:f>NIH!$E$4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NIH!$R$4:$S$4</c:f>
              <c:numCache>
                <c:formatCode>General</c:formatCode>
                <c:ptCount val="2"/>
                <c:pt idx="0">
                  <c:v>51</c:v>
                </c:pt>
                <c:pt idx="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7F-4EBA-909E-DE281713F41B}"/>
            </c:ext>
          </c:extLst>
        </c:ser>
        <c:ser>
          <c:idx val="3"/>
          <c:order val="3"/>
          <c:tx>
            <c:strRef>
              <c:f>NIH!$E$5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NIH!$R$5:$S$5</c:f>
              <c:numCache>
                <c:formatCode>General</c:formatCode>
                <c:ptCount val="2"/>
                <c:pt idx="0">
                  <c:v>45</c:v>
                </c:pt>
                <c:pt idx="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7F-4EBA-909E-DE281713F41B}"/>
            </c:ext>
          </c:extLst>
        </c:ser>
        <c:ser>
          <c:idx val="4"/>
          <c:order val="4"/>
          <c:tx>
            <c:strRef>
              <c:f>NIH!$E$6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NIH!$R$6:$S$6</c:f>
              <c:numCache>
                <c:formatCode>General</c:formatCode>
                <c:ptCount val="2"/>
                <c:pt idx="0">
                  <c:v>58</c:v>
                </c:pt>
                <c:pt idx="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7F-4EBA-909E-DE281713F41B}"/>
            </c:ext>
          </c:extLst>
        </c:ser>
        <c:ser>
          <c:idx val="5"/>
          <c:order val="5"/>
          <c:tx>
            <c:strRef>
              <c:f>NIH!$E$7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NIH!$R$7:$S$7</c:f>
              <c:numCache>
                <c:formatCode>General</c:formatCode>
                <c:ptCount val="2"/>
                <c:pt idx="0">
                  <c:v>41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7F-4EBA-909E-DE281713F41B}"/>
            </c:ext>
          </c:extLst>
        </c:ser>
        <c:ser>
          <c:idx val="6"/>
          <c:order val="6"/>
          <c:tx>
            <c:strRef>
              <c:f>NIH!$E$8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NIH!$R$8:$S$8</c:f>
              <c:numCache>
                <c:formatCode>General</c:formatCode>
                <c:ptCount val="2"/>
                <c:pt idx="0">
                  <c:v>78</c:v>
                </c:pt>
                <c:pt idx="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7F-4EBA-909E-DE281713F41B}"/>
            </c:ext>
          </c:extLst>
        </c:ser>
        <c:ser>
          <c:idx val="7"/>
          <c:order val="7"/>
          <c:tx>
            <c:strRef>
              <c:f>NIH!$E$9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NIH!$R$9:$S$9</c:f>
              <c:numCache>
                <c:formatCode>General</c:formatCode>
                <c:ptCount val="2"/>
                <c:pt idx="0">
                  <c:v>69</c:v>
                </c:pt>
                <c:pt idx="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7F-4EBA-909E-DE281713F41B}"/>
            </c:ext>
          </c:extLst>
        </c:ser>
        <c:ser>
          <c:idx val="8"/>
          <c:order val="8"/>
          <c:tx>
            <c:strRef>
              <c:f>NIH!$E$10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NIH!$R$10:$S$10</c:f>
              <c:numCache>
                <c:formatCode>General</c:formatCode>
                <c:ptCount val="2"/>
                <c:pt idx="0">
                  <c:v>52</c:v>
                </c:pt>
                <c:pt idx="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7F-4EBA-909E-DE281713F41B}"/>
            </c:ext>
          </c:extLst>
        </c:ser>
        <c:ser>
          <c:idx val="9"/>
          <c:order val="9"/>
          <c:tx>
            <c:strRef>
              <c:f>NIH!$E$11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NIH!$R$11:$S$11</c:f>
              <c:numCache>
                <c:formatCode>General</c:formatCode>
                <c:ptCount val="2"/>
                <c:pt idx="0">
                  <c:v>56</c:v>
                </c:pt>
                <c:pt idx="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7F-4EBA-909E-DE281713F41B}"/>
            </c:ext>
          </c:extLst>
        </c:ser>
        <c:ser>
          <c:idx val="10"/>
          <c:order val="10"/>
          <c:tx>
            <c:strRef>
              <c:f>NIH!$E$12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NIH!$R$12:$S$12</c:f>
              <c:numCache>
                <c:formatCode>General</c:formatCode>
                <c:ptCount val="2"/>
                <c:pt idx="0">
                  <c:v>43</c:v>
                </c:pt>
                <c:pt idx="1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7F-4EBA-909E-DE281713F41B}"/>
            </c:ext>
          </c:extLst>
        </c:ser>
        <c:ser>
          <c:idx val="11"/>
          <c:order val="11"/>
          <c:tx>
            <c:strRef>
              <c:f>NIH!$E$13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NIH!$R$13:$S$13</c:f>
              <c:numCache>
                <c:formatCode>General</c:formatCode>
                <c:ptCount val="2"/>
                <c:pt idx="0">
                  <c:v>49</c:v>
                </c:pt>
                <c:pt idx="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67F-4EBA-909E-DE281713F41B}"/>
            </c:ext>
          </c:extLst>
        </c:ser>
        <c:ser>
          <c:idx val="12"/>
          <c:order val="12"/>
          <c:tx>
            <c:strRef>
              <c:f>NIH!$E$14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NIH!$R$14:$S$14</c:f>
              <c:numCache>
                <c:formatCode>General</c:formatCode>
                <c:ptCount val="2"/>
                <c:pt idx="0">
                  <c:v>55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67F-4EBA-909E-DE281713F41B}"/>
            </c:ext>
          </c:extLst>
        </c:ser>
        <c:ser>
          <c:idx val="13"/>
          <c:order val="13"/>
          <c:tx>
            <c:strRef>
              <c:f>NIH!$E$15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NIH!$R$1:$S$1</c:f>
              <c:strCache>
                <c:ptCount val="2"/>
                <c:pt idx="0">
                  <c:v>SeqMemryPre</c:v>
                </c:pt>
                <c:pt idx="1">
                  <c:v>SeqMemryPost</c:v>
                </c:pt>
              </c:strCache>
            </c:strRef>
          </c:cat>
          <c:val>
            <c:numRef>
              <c:f>NIH!$R$15:$S$15</c:f>
              <c:numCache>
                <c:formatCode>General</c:formatCode>
                <c:ptCount val="2"/>
                <c:pt idx="0">
                  <c:v>53</c:v>
                </c:pt>
                <c:pt idx="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67F-4EBA-909E-DE281713F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63944"/>
        <c:axId val="483864336"/>
      </c:lineChart>
      <c:catAx>
        <c:axId val="48386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64336"/>
        <c:crosses val="autoZero"/>
        <c:auto val="1"/>
        <c:lblAlgn val="ctr"/>
        <c:lblOffset val="100"/>
        <c:noMultiLvlLbl val="0"/>
      </c:catAx>
      <c:valAx>
        <c:axId val="483864336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63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Processing Speed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NIH!$E$2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NIH!$N$2:$O$2</c:f>
              <c:numCache>
                <c:formatCode>General</c:formatCode>
                <c:ptCount val="2"/>
                <c:pt idx="0">
                  <c:v>35</c:v>
                </c:pt>
                <c:pt idx="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F-4B42-BC44-0E218A40040A}"/>
            </c:ext>
          </c:extLst>
        </c:ser>
        <c:ser>
          <c:idx val="1"/>
          <c:order val="1"/>
          <c:tx>
            <c:strRef>
              <c:f>NIH!$E$3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NIH!$N$3:$O$3</c:f>
              <c:numCache>
                <c:formatCode>General</c:formatCode>
                <c:ptCount val="2"/>
                <c:pt idx="0">
                  <c:v>61</c:v>
                </c:pt>
                <c:pt idx="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F-4B42-BC44-0E218A40040A}"/>
            </c:ext>
          </c:extLst>
        </c:ser>
        <c:ser>
          <c:idx val="2"/>
          <c:order val="2"/>
          <c:tx>
            <c:strRef>
              <c:f>NIH!$E$4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NIH!$N$4:$O$4</c:f>
              <c:numCache>
                <c:formatCode>General</c:formatCode>
                <c:ptCount val="2"/>
                <c:pt idx="0">
                  <c:v>65</c:v>
                </c:pt>
                <c:pt idx="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3F-4B42-BC44-0E218A40040A}"/>
            </c:ext>
          </c:extLst>
        </c:ser>
        <c:ser>
          <c:idx val="3"/>
          <c:order val="3"/>
          <c:tx>
            <c:strRef>
              <c:f>NIH!$E$5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NIH!$N$5:$O$5</c:f>
              <c:numCache>
                <c:formatCode>General</c:formatCode>
                <c:ptCount val="2"/>
                <c:pt idx="0">
                  <c:v>38</c:v>
                </c:pt>
                <c:pt idx="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3F-4B42-BC44-0E218A40040A}"/>
            </c:ext>
          </c:extLst>
        </c:ser>
        <c:ser>
          <c:idx val="4"/>
          <c:order val="4"/>
          <c:tx>
            <c:strRef>
              <c:f>NIH!$E$6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NIH!$N$6:$O$6</c:f>
              <c:numCache>
                <c:formatCode>General</c:formatCode>
                <c:ptCount val="2"/>
                <c:pt idx="0">
                  <c:v>35</c:v>
                </c:pt>
                <c:pt idx="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3F-4B42-BC44-0E218A40040A}"/>
            </c:ext>
          </c:extLst>
        </c:ser>
        <c:ser>
          <c:idx val="5"/>
          <c:order val="5"/>
          <c:tx>
            <c:strRef>
              <c:f>NIH!$E$7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NIH!$N$7:$O$7</c:f>
              <c:numCache>
                <c:formatCode>General</c:formatCode>
                <c:ptCount val="2"/>
                <c:pt idx="0">
                  <c:v>48</c:v>
                </c:pt>
                <c:pt idx="1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3F-4B42-BC44-0E218A40040A}"/>
            </c:ext>
          </c:extLst>
        </c:ser>
        <c:ser>
          <c:idx val="6"/>
          <c:order val="6"/>
          <c:tx>
            <c:strRef>
              <c:f>NIH!$E$8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NIH!$N$8:$O$8</c:f>
              <c:numCache>
                <c:formatCode>General</c:formatCode>
                <c:ptCount val="2"/>
                <c:pt idx="0">
                  <c:v>48</c:v>
                </c:pt>
                <c:pt idx="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3F-4B42-BC44-0E218A40040A}"/>
            </c:ext>
          </c:extLst>
        </c:ser>
        <c:ser>
          <c:idx val="7"/>
          <c:order val="7"/>
          <c:tx>
            <c:strRef>
              <c:f>NIH!$E$9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NIH!$N$9:$O$9</c:f>
              <c:numCache>
                <c:formatCode>General</c:formatCode>
                <c:ptCount val="2"/>
                <c:pt idx="0">
                  <c:v>73</c:v>
                </c:pt>
                <c:pt idx="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3F-4B42-BC44-0E218A40040A}"/>
            </c:ext>
          </c:extLst>
        </c:ser>
        <c:ser>
          <c:idx val="8"/>
          <c:order val="8"/>
          <c:tx>
            <c:strRef>
              <c:f>NIH!$E$10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NIH!$N$10:$O$10</c:f>
              <c:numCache>
                <c:formatCode>General</c:formatCode>
                <c:ptCount val="2"/>
                <c:pt idx="0">
                  <c:v>57</c:v>
                </c:pt>
                <c:pt idx="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3F-4B42-BC44-0E218A40040A}"/>
            </c:ext>
          </c:extLst>
        </c:ser>
        <c:ser>
          <c:idx val="9"/>
          <c:order val="9"/>
          <c:tx>
            <c:strRef>
              <c:f>NIH!$E$11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NIH!$N$11:$O$11</c:f>
              <c:numCache>
                <c:formatCode>General</c:formatCode>
                <c:ptCount val="2"/>
                <c:pt idx="0">
                  <c:v>49</c:v>
                </c:pt>
                <c:pt idx="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3F-4B42-BC44-0E218A40040A}"/>
            </c:ext>
          </c:extLst>
        </c:ser>
        <c:ser>
          <c:idx val="10"/>
          <c:order val="10"/>
          <c:tx>
            <c:strRef>
              <c:f>NIH!$E$12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NIH!$N$12:$O$12</c:f>
              <c:numCache>
                <c:formatCode>General</c:formatCode>
                <c:ptCount val="2"/>
                <c:pt idx="0">
                  <c:v>41</c:v>
                </c:pt>
                <c:pt idx="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3F-4B42-BC44-0E218A40040A}"/>
            </c:ext>
          </c:extLst>
        </c:ser>
        <c:ser>
          <c:idx val="11"/>
          <c:order val="11"/>
          <c:tx>
            <c:strRef>
              <c:f>NIH!$E$13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NIH!$N$13:$O$13</c:f>
              <c:numCache>
                <c:formatCode>General</c:formatCode>
                <c:ptCount val="2"/>
                <c:pt idx="0">
                  <c:v>40</c:v>
                </c:pt>
                <c:pt idx="1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3F-4B42-BC44-0E218A40040A}"/>
            </c:ext>
          </c:extLst>
        </c:ser>
        <c:ser>
          <c:idx val="12"/>
          <c:order val="12"/>
          <c:tx>
            <c:strRef>
              <c:f>NIH!$E$14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NIH!$N$14:$O$14</c:f>
              <c:numCache>
                <c:formatCode>General</c:formatCode>
                <c:ptCount val="2"/>
                <c:pt idx="0">
                  <c:v>67</c:v>
                </c:pt>
                <c:pt idx="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3F-4B42-BC44-0E218A40040A}"/>
            </c:ext>
          </c:extLst>
        </c:ser>
        <c:ser>
          <c:idx val="13"/>
          <c:order val="13"/>
          <c:tx>
            <c:strRef>
              <c:f>NIH!$E$15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NIH!$N$1:$O$1</c:f>
              <c:strCache>
                <c:ptCount val="2"/>
                <c:pt idx="0">
                  <c:v>PrcssSpdPre</c:v>
                </c:pt>
                <c:pt idx="1">
                  <c:v>PrcssSpdPost</c:v>
                </c:pt>
              </c:strCache>
            </c:strRef>
          </c:cat>
          <c:val>
            <c:numRef>
              <c:f>NIH!$N$15:$O$15</c:f>
              <c:numCache>
                <c:formatCode>General</c:formatCode>
                <c:ptCount val="2"/>
                <c:pt idx="0">
                  <c:v>49</c:v>
                </c:pt>
                <c:pt idx="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3F-4B42-BC44-0E218A40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65120"/>
        <c:axId val="483865512"/>
      </c:lineChart>
      <c:catAx>
        <c:axId val="4838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65512"/>
        <c:crosses val="autoZero"/>
        <c:auto val="1"/>
        <c:lblAlgn val="ctr"/>
        <c:lblOffset val="100"/>
        <c:noMultiLvlLbl val="0"/>
      </c:catAx>
      <c:valAx>
        <c:axId val="48386551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Working Memory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NIH!$E$2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NIH!$F$2:$G$2</c:f>
              <c:numCache>
                <c:formatCode>General</c:formatCode>
                <c:ptCount val="2"/>
                <c:pt idx="0">
                  <c:v>64</c:v>
                </c:pt>
                <c:pt idx="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5-431B-88DA-1A672B8CD437}"/>
            </c:ext>
          </c:extLst>
        </c:ser>
        <c:ser>
          <c:idx val="1"/>
          <c:order val="1"/>
          <c:tx>
            <c:strRef>
              <c:f>NIH!$E$3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NIH!$F$3:$G$3</c:f>
              <c:numCache>
                <c:formatCode>General</c:formatCode>
                <c:ptCount val="2"/>
                <c:pt idx="0">
                  <c:v>44</c:v>
                </c:pt>
                <c:pt idx="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5-431B-88DA-1A672B8CD437}"/>
            </c:ext>
          </c:extLst>
        </c:ser>
        <c:ser>
          <c:idx val="2"/>
          <c:order val="2"/>
          <c:tx>
            <c:strRef>
              <c:f>NIH!$E$4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NIH!$F$4:$G$4</c:f>
              <c:numCache>
                <c:formatCode>General</c:formatCode>
                <c:ptCount val="2"/>
                <c:pt idx="0">
                  <c:v>50</c:v>
                </c:pt>
                <c:pt idx="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5-431B-88DA-1A672B8CD437}"/>
            </c:ext>
          </c:extLst>
        </c:ser>
        <c:ser>
          <c:idx val="3"/>
          <c:order val="3"/>
          <c:tx>
            <c:strRef>
              <c:f>NIH!$E$5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NIH!$F$5:$G$5</c:f>
              <c:numCache>
                <c:formatCode>General</c:formatCode>
                <c:ptCount val="2"/>
                <c:pt idx="0">
                  <c:v>66</c:v>
                </c:pt>
                <c:pt idx="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85-431B-88DA-1A672B8CD437}"/>
            </c:ext>
          </c:extLst>
        </c:ser>
        <c:ser>
          <c:idx val="4"/>
          <c:order val="4"/>
          <c:tx>
            <c:strRef>
              <c:f>NIH!$E$6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NIH!$F$6:$G$6</c:f>
              <c:numCache>
                <c:formatCode>General</c:formatCode>
                <c:ptCount val="2"/>
                <c:pt idx="0">
                  <c:v>50</c:v>
                </c:pt>
                <c:pt idx="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85-431B-88DA-1A672B8CD437}"/>
            </c:ext>
          </c:extLst>
        </c:ser>
        <c:ser>
          <c:idx val="5"/>
          <c:order val="5"/>
          <c:tx>
            <c:strRef>
              <c:f>NIH!$E$7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NIH!$F$7:$G$7</c:f>
              <c:numCache>
                <c:formatCode>General</c:formatCode>
                <c:ptCount val="2"/>
                <c:pt idx="0">
                  <c:v>43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85-431B-88DA-1A672B8CD437}"/>
            </c:ext>
          </c:extLst>
        </c:ser>
        <c:ser>
          <c:idx val="6"/>
          <c:order val="6"/>
          <c:tx>
            <c:strRef>
              <c:f>NIH!$E$8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NIH!$F$8:$G$8</c:f>
              <c:numCache>
                <c:formatCode>General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85-431B-88DA-1A672B8CD437}"/>
            </c:ext>
          </c:extLst>
        </c:ser>
        <c:ser>
          <c:idx val="7"/>
          <c:order val="7"/>
          <c:tx>
            <c:strRef>
              <c:f>NIH!$E$9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NIH!$F$9:$G$9</c:f>
              <c:numCache>
                <c:formatCode>General</c:formatCode>
                <c:ptCount val="2"/>
                <c:pt idx="0">
                  <c:v>47</c:v>
                </c:pt>
                <c:pt idx="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85-431B-88DA-1A672B8CD437}"/>
            </c:ext>
          </c:extLst>
        </c:ser>
        <c:ser>
          <c:idx val="8"/>
          <c:order val="8"/>
          <c:tx>
            <c:strRef>
              <c:f>NIH!$E$10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NIH!$F$10:$G$10</c:f>
              <c:numCache>
                <c:formatCode>General</c:formatCode>
                <c:ptCount val="2"/>
                <c:pt idx="0">
                  <c:v>52</c:v>
                </c:pt>
                <c:pt idx="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85-431B-88DA-1A672B8CD437}"/>
            </c:ext>
          </c:extLst>
        </c:ser>
        <c:ser>
          <c:idx val="9"/>
          <c:order val="9"/>
          <c:tx>
            <c:strRef>
              <c:f>NIH!$E$11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NIH!$F$11:$G$11</c:f>
              <c:numCache>
                <c:formatCode>General</c:formatCode>
                <c:ptCount val="2"/>
                <c:pt idx="0">
                  <c:v>63</c:v>
                </c:pt>
                <c:pt idx="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85-431B-88DA-1A672B8CD437}"/>
            </c:ext>
          </c:extLst>
        </c:ser>
        <c:ser>
          <c:idx val="10"/>
          <c:order val="10"/>
          <c:tx>
            <c:strRef>
              <c:f>NIH!$E$12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NIH!$F$12:$G$12</c:f>
              <c:numCache>
                <c:formatCode>General</c:formatCode>
                <c:ptCount val="2"/>
                <c:pt idx="0">
                  <c:v>47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85-431B-88DA-1A672B8CD437}"/>
            </c:ext>
          </c:extLst>
        </c:ser>
        <c:ser>
          <c:idx val="11"/>
          <c:order val="11"/>
          <c:tx>
            <c:strRef>
              <c:f>NIH!$E$13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NIH!$F$13:$G$13</c:f>
              <c:numCache>
                <c:formatCode>General</c:formatCode>
                <c:ptCount val="2"/>
                <c:pt idx="0">
                  <c:v>57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85-431B-88DA-1A672B8CD437}"/>
            </c:ext>
          </c:extLst>
        </c:ser>
        <c:ser>
          <c:idx val="12"/>
          <c:order val="12"/>
          <c:tx>
            <c:strRef>
              <c:f>NIH!$E$14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NIH!$F$14:$G$14</c:f>
              <c:numCache>
                <c:formatCode>General</c:formatCode>
                <c:ptCount val="2"/>
                <c:pt idx="0">
                  <c:v>56</c:v>
                </c:pt>
                <c:pt idx="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85-431B-88DA-1A672B8CD437}"/>
            </c:ext>
          </c:extLst>
        </c:ser>
        <c:ser>
          <c:idx val="13"/>
          <c:order val="13"/>
          <c:tx>
            <c:strRef>
              <c:f>NIH!$E$15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NIH!$F$1:$G$1</c:f>
              <c:strCache>
                <c:ptCount val="2"/>
                <c:pt idx="0">
                  <c:v>WrkMemryPre</c:v>
                </c:pt>
                <c:pt idx="1">
                  <c:v>WrkMemryPost</c:v>
                </c:pt>
              </c:strCache>
            </c:strRef>
          </c:cat>
          <c:val>
            <c:numRef>
              <c:f>NIH!$F$15:$G$15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85-431B-88DA-1A672B8CD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66296"/>
        <c:axId val="483866688"/>
      </c:lineChart>
      <c:catAx>
        <c:axId val="48386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66688"/>
        <c:crosses val="autoZero"/>
        <c:auto val="1"/>
        <c:lblAlgn val="ctr"/>
        <c:lblOffset val="100"/>
        <c:noMultiLvlLbl val="0"/>
      </c:catAx>
      <c:valAx>
        <c:axId val="48386668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6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Attention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NIH!$B$2:$C$2</c:f>
              <c:numCache>
                <c:formatCode>General</c:formatCode>
                <c:ptCount val="2"/>
                <c:pt idx="0">
                  <c:v>44</c:v>
                </c:pt>
                <c:pt idx="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8-4A80-B2E1-8593455A221B}"/>
            </c:ext>
          </c:extLst>
        </c:ser>
        <c:ser>
          <c:idx val="1"/>
          <c:order val="1"/>
          <c:tx>
            <c:strRef>
              <c:f>NIH!$A$3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NIH!$B$3:$C$3</c:f>
              <c:numCache>
                <c:formatCode>General</c:formatCode>
                <c:ptCount val="2"/>
                <c:pt idx="0">
                  <c:v>54</c:v>
                </c:pt>
                <c:pt idx="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8-4A80-B2E1-8593455A221B}"/>
            </c:ext>
          </c:extLst>
        </c:ser>
        <c:ser>
          <c:idx val="2"/>
          <c:order val="2"/>
          <c:tx>
            <c:strRef>
              <c:f>NIH!$A$4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NIH!$B$4:$C$4</c:f>
              <c:numCache>
                <c:formatCode>General</c:formatCode>
                <c:ptCount val="2"/>
                <c:pt idx="0">
                  <c:v>49</c:v>
                </c:pt>
                <c:pt idx="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68-4A80-B2E1-8593455A221B}"/>
            </c:ext>
          </c:extLst>
        </c:ser>
        <c:ser>
          <c:idx val="3"/>
          <c:order val="3"/>
          <c:tx>
            <c:strRef>
              <c:f>NIH!$A$5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NIH!$B$5:$C$5</c:f>
              <c:numCache>
                <c:formatCode>General</c:formatCode>
                <c:ptCount val="2"/>
                <c:pt idx="0">
                  <c:v>39</c:v>
                </c:pt>
                <c:pt idx="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68-4A80-B2E1-8593455A221B}"/>
            </c:ext>
          </c:extLst>
        </c:ser>
        <c:ser>
          <c:idx val="4"/>
          <c:order val="4"/>
          <c:tx>
            <c:strRef>
              <c:f>NIH!$A$6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NIH!$B$6:$C$6</c:f>
              <c:numCache>
                <c:formatCode>General</c:formatCode>
                <c:ptCount val="2"/>
                <c:pt idx="0">
                  <c:v>50</c:v>
                </c:pt>
                <c:pt idx="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68-4A80-B2E1-8593455A221B}"/>
            </c:ext>
          </c:extLst>
        </c:ser>
        <c:ser>
          <c:idx val="5"/>
          <c:order val="5"/>
          <c:tx>
            <c:strRef>
              <c:f>NIH!$A$7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NIH!$B$7:$C$7</c:f>
              <c:numCache>
                <c:formatCode>General</c:formatCode>
                <c:ptCount val="2"/>
                <c:pt idx="0">
                  <c:v>46</c:v>
                </c:pt>
                <c:pt idx="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68-4A80-B2E1-8593455A221B}"/>
            </c:ext>
          </c:extLst>
        </c:ser>
        <c:ser>
          <c:idx val="6"/>
          <c:order val="6"/>
          <c:tx>
            <c:strRef>
              <c:f>NIH!$A$8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NIH!$B$8:$C$8</c:f>
              <c:numCache>
                <c:formatCode>General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68-4A80-B2E1-8593455A221B}"/>
            </c:ext>
          </c:extLst>
        </c:ser>
        <c:ser>
          <c:idx val="7"/>
          <c:order val="7"/>
          <c:tx>
            <c:strRef>
              <c:f>NIH!$A$9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NIH!$B$9:$C$9</c:f>
              <c:numCache>
                <c:formatCode>General</c:formatCode>
                <c:ptCount val="2"/>
                <c:pt idx="0">
                  <c:v>68</c:v>
                </c:pt>
                <c:pt idx="1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368-4A80-B2E1-8593455A221B}"/>
            </c:ext>
          </c:extLst>
        </c:ser>
        <c:ser>
          <c:idx val="8"/>
          <c:order val="8"/>
          <c:tx>
            <c:strRef>
              <c:f>NIH!$A$10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NIH!$B$10:$C$10</c:f>
              <c:numCache>
                <c:formatCode>General</c:formatCode>
                <c:ptCount val="2"/>
                <c:pt idx="0">
                  <c:v>46</c:v>
                </c:pt>
                <c:pt idx="1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68-4A80-B2E1-8593455A221B}"/>
            </c:ext>
          </c:extLst>
        </c:ser>
        <c:ser>
          <c:idx val="9"/>
          <c:order val="9"/>
          <c:tx>
            <c:strRef>
              <c:f>NIH!$A$11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NIH!$B$11:$C$11</c:f>
              <c:numCache>
                <c:formatCode>General</c:formatCode>
                <c:ptCount val="2"/>
                <c:pt idx="0">
                  <c:v>40</c:v>
                </c:pt>
                <c:pt idx="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368-4A80-B2E1-8593455A221B}"/>
            </c:ext>
          </c:extLst>
        </c:ser>
        <c:ser>
          <c:idx val="10"/>
          <c:order val="10"/>
          <c:tx>
            <c:strRef>
              <c:f>NIH!$A$12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NIH!$B$12:$C$12</c:f>
              <c:numCache>
                <c:formatCode>General</c:formatCode>
                <c:ptCount val="2"/>
                <c:pt idx="0">
                  <c:v>35</c:v>
                </c:pt>
                <c:pt idx="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68-4A80-B2E1-8593455A221B}"/>
            </c:ext>
          </c:extLst>
        </c:ser>
        <c:ser>
          <c:idx val="11"/>
          <c:order val="11"/>
          <c:tx>
            <c:strRef>
              <c:f>NIH!$A$13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NIH!$B$13:$C$13</c:f>
              <c:numCache>
                <c:formatCode>General</c:formatCode>
                <c:ptCount val="2"/>
                <c:pt idx="0">
                  <c:v>45</c:v>
                </c:pt>
                <c:pt idx="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368-4A80-B2E1-8593455A221B}"/>
            </c:ext>
          </c:extLst>
        </c:ser>
        <c:ser>
          <c:idx val="12"/>
          <c:order val="12"/>
          <c:tx>
            <c:strRef>
              <c:f>NIH!$A$14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NIH!$B$14:$C$14</c:f>
              <c:numCache>
                <c:formatCode>General</c:formatCode>
                <c:ptCount val="2"/>
                <c:pt idx="0">
                  <c:v>42</c:v>
                </c:pt>
                <c:pt idx="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368-4A80-B2E1-8593455A221B}"/>
            </c:ext>
          </c:extLst>
        </c:ser>
        <c:ser>
          <c:idx val="13"/>
          <c:order val="13"/>
          <c:tx>
            <c:strRef>
              <c:f>NIH!$A$15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NIH!$B$1:$C$1</c:f>
              <c:strCache>
                <c:ptCount val="2"/>
                <c:pt idx="0">
                  <c:v>AttnPre</c:v>
                </c:pt>
                <c:pt idx="1">
                  <c:v>AttnPost</c:v>
                </c:pt>
              </c:strCache>
            </c:strRef>
          </c:cat>
          <c:val>
            <c:numRef>
              <c:f>NIH!$B$15:$C$15</c:f>
              <c:numCache>
                <c:formatCode>General</c:formatCode>
                <c:ptCount val="2"/>
                <c:pt idx="0">
                  <c:v>40</c:v>
                </c:pt>
                <c:pt idx="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368-4A80-B2E1-8593455A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86280"/>
        <c:axId val="535686672"/>
      </c:lineChart>
      <c:catAx>
        <c:axId val="53568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86672"/>
        <c:crosses val="autoZero"/>
        <c:auto val="1"/>
        <c:lblAlgn val="ctr"/>
        <c:lblOffset val="100"/>
        <c:noMultiLvlLbl val="0"/>
      </c:catAx>
      <c:valAx>
        <c:axId val="53568667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86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 Minute Walk 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'Aerobic Endurnce'!$A$2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Endurnce'!$C$2:$D$2</c:f>
              <c:numCache>
                <c:formatCode>General</c:formatCode>
                <c:ptCount val="2"/>
                <c:pt idx="0">
                  <c:v>520.74</c:v>
                </c:pt>
                <c:pt idx="1">
                  <c:v>594.33000000000004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6-4E16-8F80-CB3F5122A7D8}"/>
            </c:ext>
          </c:extLst>
        </c:ser>
        <c:ser>
          <c:idx val="1"/>
          <c:order val="1"/>
          <c:tx>
            <c:strRef>
              <c:f>'Aerobic Endurnce'!$A$3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Endurnce'!$C$3:$D$3</c:f>
              <c:numCache>
                <c:formatCode>General</c:formatCode>
                <c:ptCount val="2"/>
                <c:pt idx="0">
                  <c:v>626.71</c:v>
                </c:pt>
                <c:pt idx="1">
                  <c:v>756.91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6-4E16-8F80-CB3F5122A7D8}"/>
            </c:ext>
          </c:extLst>
        </c:ser>
        <c:ser>
          <c:idx val="2"/>
          <c:order val="2"/>
          <c:tx>
            <c:strRef>
              <c:f>'Aerobic Endurnce'!$A$4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Endurnce'!$C$4:$D$4</c:f>
              <c:numCache>
                <c:formatCode>General</c:formatCode>
                <c:ptCount val="2"/>
                <c:pt idx="0">
                  <c:v>545.92999999999995</c:v>
                </c:pt>
                <c:pt idx="1">
                  <c:v>596.30999999999995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6-4E16-8F80-CB3F5122A7D8}"/>
            </c:ext>
          </c:extLst>
        </c:ser>
        <c:ser>
          <c:idx val="3"/>
          <c:order val="3"/>
          <c:tx>
            <c:strRef>
              <c:f>'Aerobic Endurnce'!$A$5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Endurnce'!$C$5:$D$5</c:f>
              <c:numCache>
                <c:formatCode>General</c:formatCode>
                <c:ptCount val="2"/>
                <c:pt idx="0">
                  <c:v>538.23</c:v>
                </c:pt>
                <c:pt idx="1">
                  <c:v>574.08000000000004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6-4E16-8F80-CB3F5122A7D8}"/>
            </c:ext>
          </c:extLst>
        </c:ser>
        <c:ser>
          <c:idx val="4"/>
          <c:order val="4"/>
          <c:tx>
            <c:strRef>
              <c:f>'Aerobic Endurnce'!$A$6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Endurnce'!$C$6:$D$6</c:f>
              <c:numCache>
                <c:formatCode>General</c:formatCode>
                <c:ptCount val="2"/>
                <c:pt idx="0">
                  <c:v>692.85</c:v>
                </c:pt>
                <c:pt idx="1">
                  <c:v>744.8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6-4E16-8F80-CB3F5122A7D8}"/>
            </c:ext>
          </c:extLst>
        </c:ser>
        <c:ser>
          <c:idx val="5"/>
          <c:order val="5"/>
          <c:tx>
            <c:strRef>
              <c:f>'Aerobic Endurnce'!$A$7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Endurnce'!$C$7:$D$7</c:f>
              <c:numCache>
                <c:formatCode>General</c:formatCode>
                <c:ptCount val="2"/>
                <c:pt idx="0">
                  <c:v>594.33000000000004</c:v>
                </c:pt>
                <c:pt idx="1">
                  <c:v>586.41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36-4E16-8F80-CB3F5122A7D8}"/>
            </c:ext>
          </c:extLst>
        </c:ser>
        <c:ser>
          <c:idx val="6"/>
          <c:order val="6"/>
          <c:tx>
            <c:strRef>
              <c:f>'Aerobic Endurnce'!$A$8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Endurnce'!$C$8:$D$8</c:f>
              <c:numCache>
                <c:formatCode>General</c:formatCode>
                <c:ptCount val="2"/>
                <c:pt idx="0">
                  <c:v>613.25</c:v>
                </c:pt>
                <c:pt idx="1">
                  <c:v>676.62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36-4E16-8F80-CB3F5122A7D8}"/>
            </c:ext>
          </c:extLst>
        </c:ser>
        <c:ser>
          <c:idx val="7"/>
          <c:order val="7"/>
          <c:tx>
            <c:strRef>
              <c:f>'Aerobic Endurnce'!$A$9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Endurnce'!$C$9:$D$9</c:f>
              <c:numCache>
                <c:formatCode>General</c:formatCode>
                <c:ptCount val="2"/>
                <c:pt idx="0">
                  <c:v>556.21</c:v>
                </c:pt>
                <c:pt idx="1">
                  <c:v>533.14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36-4E16-8F80-CB3F5122A7D8}"/>
            </c:ext>
          </c:extLst>
        </c:ser>
        <c:ser>
          <c:idx val="8"/>
          <c:order val="8"/>
          <c:tx>
            <c:strRef>
              <c:f>'Aerobic Endurnce'!$A$10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Endurnce'!$C$10:$D$10</c:f>
              <c:numCache>
                <c:formatCode>General</c:formatCode>
                <c:ptCount val="2"/>
                <c:pt idx="0">
                  <c:v>630.91</c:v>
                </c:pt>
                <c:pt idx="1">
                  <c:v>634.75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36-4E16-8F80-CB3F5122A7D8}"/>
            </c:ext>
          </c:extLst>
        </c:ser>
        <c:ser>
          <c:idx val="9"/>
          <c:order val="9"/>
          <c:tx>
            <c:strRef>
              <c:f>'Aerobic Endurnce'!$A$11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Endurnce'!$C$11:$D$11</c:f>
              <c:numCache>
                <c:formatCode>General</c:formatCode>
                <c:ptCount val="2"/>
                <c:pt idx="0">
                  <c:v>594.66</c:v>
                </c:pt>
                <c:pt idx="1">
                  <c:v>612.44000000000005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336-4E16-8F80-CB3F5122A7D8}"/>
            </c:ext>
          </c:extLst>
        </c:ser>
        <c:ser>
          <c:idx val="10"/>
          <c:order val="10"/>
          <c:tx>
            <c:strRef>
              <c:f>'Aerobic Endurnce'!$A$12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Endurnce'!$C$12:$D$12</c:f>
              <c:numCache>
                <c:formatCode>General</c:formatCode>
                <c:ptCount val="2"/>
                <c:pt idx="0">
                  <c:v>585.42999999999995</c:v>
                </c:pt>
                <c:pt idx="1">
                  <c:v>515.07000000000005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336-4E16-8F80-CB3F5122A7D8}"/>
            </c:ext>
          </c:extLst>
        </c:ser>
        <c:ser>
          <c:idx val="11"/>
          <c:order val="11"/>
          <c:tx>
            <c:strRef>
              <c:f>'Aerobic Endurnce'!$A$13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Endurnce'!$C$13:$D$13</c:f>
              <c:numCache>
                <c:formatCode>General</c:formatCode>
                <c:ptCount val="2"/>
                <c:pt idx="0">
                  <c:v>604.75</c:v>
                </c:pt>
                <c:pt idx="1">
                  <c:v>585.64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336-4E16-8F80-CB3F5122A7D8}"/>
            </c:ext>
          </c:extLst>
        </c:ser>
        <c:ser>
          <c:idx val="12"/>
          <c:order val="12"/>
          <c:tx>
            <c:strRef>
              <c:f>'Aerobic Endurnce'!$A$14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Endurnce'!$C$14:$D$14</c:f>
              <c:numCache>
                <c:formatCode>General</c:formatCode>
                <c:ptCount val="2"/>
                <c:pt idx="0">
                  <c:v>579.6</c:v>
                </c:pt>
                <c:pt idx="1">
                  <c:v>635.96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336-4E16-8F80-CB3F5122A7D8}"/>
            </c:ext>
          </c:extLst>
        </c:ser>
        <c:ser>
          <c:idx val="13"/>
          <c:order val="13"/>
          <c:tx>
            <c:strRef>
              <c:f>'Aerobic Endurnce'!$A$15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'Aerobic Endurnce'!$C$1:$D$1</c:f>
              <c:strCache>
                <c:ptCount val="2"/>
                <c:pt idx="0">
                  <c:v>6MinWalkDistancePreMts</c:v>
                </c:pt>
                <c:pt idx="1">
                  <c:v>DistancePostMts</c:v>
                </c:pt>
              </c:strCache>
            </c:strRef>
          </c:cat>
          <c:val>
            <c:numRef>
              <c:f>'Aerobic Endurnce'!$C$15:$D$15</c:f>
              <c:numCache>
                <c:formatCode>General</c:formatCode>
                <c:ptCount val="2"/>
                <c:pt idx="0">
                  <c:v>594.79</c:v>
                </c:pt>
                <c:pt idx="1">
                  <c:v>575.42999999999995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336-4E16-8F80-CB3F5122A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87456"/>
        <c:axId val="535687848"/>
      </c:lineChart>
      <c:catAx>
        <c:axId val="5356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87848"/>
        <c:crosses val="autoZero"/>
        <c:auto val="1"/>
        <c:lblAlgn val="ctr"/>
        <c:lblOffset val="100"/>
        <c:noMultiLvlLbl val="0"/>
      </c:catAx>
      <c:valAx>
        <c:axId val="535687848"/>
        <c:scaling>
          <c:orientation val="minMax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8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Self-Selected Gait, Average Velocity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Costs'!$B$2:$C$2</c:f>
              <c:numCache>
                <c:formatCode>General</c:formatCode>
                <c:ptCount val="2"/>
                <c:pt idx="0">
                  <c:v>1.5683666666666702</c:v>
                </c:pt>
                <c:pt idx="1">
                  <c:v>1.5565500000000001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8-4A4A-B97D-D58C4F289E83}"/>
            </c:ext>
          </c:extLst>
        </c:ser>
        <c:ser>
          <c:idx val="1"/>
          <c:order val="1"/>
          <c:tx>
            <c:strRef>
              <c:f>'Gait Velocities and Costs'!$A$3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Costs'!$B$3:$C$3</c:f>
              <c:numCache>
                <c:formatCode>General</c:formatCode>
                <c:ptCount val="2"/>
                <c:pt idx="0">
                  <c:v>1.41178</c:v>
                </c:pt>
                <c:pt idx="1">
                  <c:v>1.3866000000000001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8-4A4A-B97D-D58C4F289E83}"/>
            </c:ext>
          </c:extLst>
        </c:ser>
        <c:ser>
          <c:idx val="2"/>
          <c:order val="2"/>
          <c:tx>
            <c:strRef>
              <c:f>'Gait Velocities and Costs'!$A$4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Costs'!$B$4:$C$4</c:f>
              <c:numCache>
                <c:formatCode>General</c:formatCode>
                <c:ptCount val="2"/>
                <c:pt idx="0">
                  <c:v>1.45251</c:v>
                </c:pt>
                <c:pt idx="1">
                  <c:v>1.2881299999999998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8-4A4A-B97D-D58C4F289E83}"/>
            </c:ext>
          </c:extLst>
        </c:ser>
        <c:ser>
          <c:idx val="3"/>
          <c:order val="3"/>
          <c:tx>
            <c:strRef>
              <c:f>'Gait Velocities and Costs'!$A$5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Costs'!$B$5:$C$5</c:f>
              <c:numCache>
                <c:formatCode>General</c:formatCode>
                <c:ptCount val="2"/>
                <c:pt idx="0">
                  <c:v>1.4112100000000001</c:v>
                </c:pt>
                <c:pt idx="1">
                  <c:v>1.4900333333333333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78-4A4A-B97D-D58C4F289E83}"/>
            </c:ext>
          </c:extLst>
        </c:ser>
        <c:ser>
          <c:idx val="4"/>
          <c:order val="4"/>
          <c:tx>
            <c:strRef>
              <c:f>'Gait Velocities and Costs'!$A$6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Costs'!$B$6:$C$6</c:f>
              <c:numCache>
                <c:formatCode>General</c:formatCode>
                <c:ptCount val="2"/>
                <c:pt idx="0">
                  <c:v>1.3621266666666667</c:v>
                </c:pt>
                <c:pt idx="1">
                  <c:v>1.3933833333333334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78-4A4A-B97D-D58C4F289E83}"/>
            </c:ext>
          </c:extLst>
        </c:ser>
        <c:ser>
          <c:idx val="5"/>
          <c:order val="5"/>
          <c:tx>
            <c:strRef>
              <c:f>'Gait Velocities and Costs'!$A$7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Costs'!$B$7:$C$7</c:f>
              <c:numCache>
                <c:formatCode>General</c:formatCode>
                <c:ptCount val="2"/>
                <c:pt idx="0">
                  <c:v>1.3873999999999997</c:v>
                </c:pt>
                <c:pt idx="1">
                  <c:v>1.2549366666666666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78-4A4A-B97D-D58C4F289E83}"/>
            </c:ext>
          </c:extLst>
        </c:ser>
        <c:ser>
          <c:idx val="6"/>
          <c:order val="6"/>
          <c:tx>
            <c:strRef>
              <c:f>'Gait Velocities and Costs'!$A$8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Costs'!$B$8:$C$8</c:f>
              <c:numCache>
                <c:formatCode>General</c:formatCode>
                <c:ptCount val="2"/>
                <c:pt idx="0">
                  <c:v>1.36876</c:v>
                </c:pt>
                <c:pt idx="1">
                  <c:v>1.6715833333333334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B78-4A4A-B97D-D58C4F289E83}"/>
            </c:ext>
          </c:extLst>
        </c:ser>
        <c:ser>
          <c:idx val="7"/>
          <c:order val="7"/>
          <c:tx>
            <c:strRef>
              <c:f>'Gait Velocities and Costs'!$A$9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Costs'!$B$9:$C$9</c:f>
              <c:numCache>
                <c:formatCode>General</c:formatCode>
                <c:ptCount val="2"/>
                <c:pt idx="0">
                  <c:v>1.4892833333333331</c:v>
                </c:pt>
                <c:pt idx="1">
                  <c:v>1.4579266666666666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B78-4A4A-B97D-D58C4F289E83}"/>
            </c:ext>
          </c:extLst>
        </c:ser>
        <c:ser>
          <c:idx val="8"/>
          <c:order val="8"/>
          <c:tx>
            <c:strRef>
              <c:f>'Gait Velocities and Costs'!$A$10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Costs'!$B$10:$C$10</c:f>
              <c:numCache>
                <c:formatCode>General</c:formatCode>
                <c:ptCount val="2"/>
                <c:pt idx="0">
                  <c:v>1.5236133333333333</c:v>
                </c:pt>
                <c:pt idx="1">
                  <c:v>1.4508633333333334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78-4A4A-B97D-D58C4F289E83}"/>
            </c:ext>
          </c:extLst>
        </c:ser>
        <c:ser>
          <c:idx val="9"/>
          <c:order val="9"/>
          <c:tx>
            <c:strRef>
              <c:f>'Gait Velocities and Costs'!$A$11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Costs'!$B$11:$C$11</c:f>
              <c:numCache>
                <c:formatCode>General</c:formatCode>
                <c:ptCount val="2"/>
                <c:pt idx="0">
                  <c:v>1.3931466666666665</c:v>
                </c:pt>
                <c:pt idx="1">
                  <c:v>1.2405599999999999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B78-4A4A-B97D-D58C4F289E83}"/>
            </c:ext>
          </c:extLst>
        </c:ser>
        <c:ser>
          <c:idx val="10"/>
          <c:order val="10"/>
          <c:tx>
            <c:strRef>
              <c:f>'Gait Velocities and Costs'!$A$12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Costs'!$B$12:$C$12</c:f>
              <c:numCache>
                <c:formatCode>General</c:formatCode>
                <c:ptCount val="2"/>
                <c:pt idx="0">
                  <c:v>1.0979666666666668</c:v>
                </c:pt>
                <c:pt idx="1">
                  <c:v>1.2619333333333334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78-4A4A-B97D-D58C4F289E83}"/>
            </c:ext>
          </c:extLst>
        </c:ser>
        <c:ser>
          <c:idx val="11"/>
          <c:order val="11"/>
          <c:tx>
            <c:strRef>
              <c:f>'Gait Velocities and Costs'!$A$13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Costs'!$B$13:$C$13</c:f>
              <c:numCache>
                <c:formatCode>General</c:formatCode>
                <c:ptCount val="2"/>
                <c:pt idx="0">
                  <c:v>1.1911899999999997</c:v>
                </c:pt>
                <c:pt idx="1">
                  <c:v>1.1899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B78-4A4A-B97D-D58C4F289E83}"/>
            </c:ext>
          </c:extLst>
        </c:ser>
        <c:ser>
          <c:idx val="12"/>
          <c:order val="12"/>
          <c:tx>
            <c:strRef>
              <c:f>'Gait Velocities and Costs'!$A$14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Costs'!$B$14:$C$14</c:f>
              <c:numCache>
                <c:formatCode>General</c:formatCode>
                <c:ptCount val="2"/>
                <c:pt idx="0">
                  <c:v>1.4069433333333334</c:v>
                </c:pt>
                <c:pt idx="1">
                  <c:v>1.5609166666666667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B78-4A4A-B97D-D58C4F289E83}"/>
            </c:ext>
          </c:extLst>
        </c:ser>
        <c:ser>
          <c:idx val="13"/>
          <c:order val="13"/>
          <c:tx>
            <c:strRef>
              <c:f>'Gait Velocities and Costs'!$A$15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Costs'!$B$1:$C$1</c:f>
              <c:strCache>
                <c:ptCount val="2"/>
                <c:pt idx="0">
                  <c:v>SS_AvVel_Pre</c:v>
                </c:pt>
                <c:pt idx="1">
                  <c:v>SS_AvVel_Post</c:v>
                </c:pt>
              </c:strCache>
            </c:strRef>
          </c:cat>
          <c:val>
            <c:numRef>
              <c:f>'Gait Velocities and Costs'!$B$15:$C$15</c:f>
              <c:numCache>
                <c:formatCode>General</c:formatCode>
                <c:ptCount val="2"/>
                <c:pt idx="0">
                  <c:v>1.3192733333333333</c:v>
                </c:pt>
                <c:pt idx="1">
                  <c:v>1.2944633333333335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B78-4A4A-B97D-D58C4F289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88632"/>
        <c:axId val="535689024"/>
      </c:lineChart>
      <c:catAx>
        <c:axId val="53568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89024"/>
        <c:crosses val="autoZero"/>
        <c:auto val="1"/>
        <c:lblAlgn val="ctr"/>
        <c:lblOffset val="100"/>
        <c:noMultiLvlLbl val="0"/>
      </c:catAx>
      <c:valAx>
        <c:axId val="53568902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8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Chair Stand (Number of reps in 30s)</a:t>
            </a:r>
          </a:p>
        </c:rich>
      </c:tx>
      <c:layout>
        <c:manualLayout>
          <c:xMode val="edge"/>
          <c:yMode val="edge"/>
          <c:x val="0.2047845581802275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'Lower Body Strength'!$A$2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Strength'!$C$2:$D$2</c:f>
              <c:numCache>
                <c:formatCode>General</c:formatCode>
                <c:ptCount val="2"/>
                <c:pt idx="0">
                  <c:v>13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A-400B-8971-1E1596005D8D}"/>
            </c:ext>
          </c:extLst>
        </c:ser>
        <c:ser>
          <c:idx val="1"/>
          <c:order val="1"/>
          <c:tx>
            <c:strRef>
              <c:f>'Lower Body Strength'!$A$3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Strength'!$C$3:$D$3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A-400B-8971-1E1596005D8D}"/>
            </c:ext>
          </c:extLst>
        </c:ser>
        <c:ser>
          <c:idx val="2"/>
          <c:order val="2"/>
          <c:tx>
            <c:strRef>
              <c:f>'Lower Body Strength'!$A$4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Strength'!$C$4:$D$4</c:f>
              <c:numCache>
                <c:formatCode>General</c:formatCode>
                <c:ptCount val="2"/>
                <c:pt idx="0">
                  <c:v>11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A-400B-8971-1E1596005D8D}"/>
            </c:ext>
          </c:extLst>
        </c:ser>
        <c:ser>
          <c:idx val="3"/>
          <c:order val="3"/>
          <c:tx>
            <c:strRef>
              <c:f>'Lower Body Strength'!$A$5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Strength'!$C$5:$D$5</c:f>
              <c:numCache>
                <c:formatCode>General</c:formatCode>
                <c:ptCount val="2"/>
                <c:pt idx="0">
                  <c:v>17</c:v>
                </c:pt>
                <c:pt idx="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CA-400B-8971-1E1596005D8D}"/>
            </c:ext>
          </c:extLst>
        </c:ser>
        <c:ser>
          <c:idx val="4"/>
          <c:order val="4"/>
          <c:tx>
            <c:strRef>
              <c:f>'Lower Body Strength'!$A$6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Strength'!$C$6:$D$6</c:f>
              <c:numCache>
                <c:formatCode>General</c:formatCode>
                <c:ptCount val="2"/>
                <c:pt idx="0">
                  <c:v>23</c:v>
                </c:pt>
                <c:pt idx="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CA-400B-8971-1E1596005D8D}"/>
            </c:ext>
          </c:extLst>
        </c:ser>
        <c:ser>
          <c:idx val="5"/>
          <c:order val="5"/>
          <c:tx>
            <c:strRef>
              <c:f>'Lower Body Strength'!$A$7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Strength'!$C$7:$D$7</c:f>
              <c:numCache>
                <c:formatCode>General</c:formatCode>
                <c:ptCount val="2"/>
                <c:pt idx="0">
                  <c:v>13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CA-400B-8971-1E1596005D8D}"/>
            </c:ext>
          </c:extLst>
        </c:ser>
        <c:ser>
          <c:idx val="6"/>
          <c:order val="6"/>
          <c:tx>
            <c:strRef>
              <c:f>'Lower Body Strength'!$A$8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Strength'!$C$8:$D$8</c:f>
              <c:numCache>
                <c:formatCode>General</c:formatCode>
                <c:ptCount val="2"/>
                <c:pt idx="0">
                  <c:v>16</c:v>
                </c:pt>
                <c:pt idx="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CA-400B-8971-1E1596005D8D}"/>
            </c:ext>
          </c:extLst>
        </c:ser>
        <c:ser>
          <c:idx val="7"/>
          <c:order val="7"/>
          <c:tx>
            <c:strRef>
              <c:f>'Lower Body Strength'!$A$9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Strength'!$C$9:$D$9</c:f>
              <c:numCache>
                <c:formatCode>General</c:formatCode>
                <c:ptCount val="2"/>
                <c:pt idx="0">
                  <c:v>21</c:v>
                </c:pt>
                <c:pt idx="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CA-400B-8971-1E1596005D8D}"/>
            </c:ext>
          </c:extLst>
        </c:ser>
        <c:ser>
          <c:idx val="8"/>
          <c:order val="8"/>
          <c:tx>
            <c:strRef>
              <c:f>'Lower Body Strength'!$A$10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Strength'!$C$10:$D$10</c:f>
              <c:numCache>
                <c:formatCode>General</c:formatCode>
                <c:ptCount val="2"/>
                <c:pt idx="0">
                  <c:v>17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CA-400B-8971-1E1596005D8D}"/>
            </c:ext>
          </c:extLst>
        </c:ser>
        <c:ser>
          <c:idx val="9"/>
          <c:order val="9"/>
          <c:tx>
            <c:strRef>
              <c:f>'Lower Body Strength'!$A$11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Strength'!$C$11:$D$11</c:f>
              <c:numCache>
                <c:formatCode>General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CA-400B-8971-1E1596005D8D}"/>
            </c:ext>
          </c:extLst>
        </c:ser>
        <c:ser>
          <c:idx val="10"/>
          <c:order val="10"/>
          <c:tx>
            <c:strRef>
              <c:f>'Lower Body Strength'!$A$12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Strength'!$C$12:$D$12</c:f>
              <c:numCache>
                <c:formatCode>General</c:formatCode>
                <c:ptCount val="2"/>
                <c:pt idx="0">
                  <c:v>11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CA-400B-8971-1E1596005D8D}"/>
            </c:ext>
          </c:extLst>
        </c:ser>
        <c:ser>
          <c:idx val="11"/>
          <c:order val="11"/>
          <c:tx>
            <c:strRef>
              <c:f>'Lower Body Strength'!$A$13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Strength'!$C$13:$D$13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0CA-400B-8971-1E1596005D8D}"/>
            </c:ext>
          </c:extLst>
        </c:ser>
        <c:ser>
          <c:idx val="12"/>
          <c:order val="12"/>
          <c:tx>
            <c:strRef>
              <c:f>'Lower Body Strength'!$A$14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Strength'!$C$1:$D$1</c:f>
              <c:strCache>
                <c:ptCount val="2"/>
                <c:pt idx="0">
                  <c:v>ChairStandPre</c:v>
                </c:pt>
                <c:pt idx="1">
                  <c:v>ChairStandPost</c:v>
                </c:pt>
              </c:strCache>
            </c:strRef>
          </c:cat>
          <c:val>
            <c:numRef>
              <c:f>'Lower Body Strength'!$C$14:$D$14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0CA-400B-8971-1E159600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329808"/>
        <c:axId val="485330592"/>
      </c:lineChart>
      <c:catAx>
        <c:axId val="48532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30592"/>
        <c:crosses val="autoZero"/>
        <c:auto val="1"/>
        <c:lblAlgn val="ctr"/>
        <c:lblOffset val="100"/>
        <c:noMultiLvlLbl val="0"/>
      </c:catAx>
      <c:valAx>
        <c:axId val="48533059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2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Fast Gait, Average Velocity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Costs'!$E$2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Costs'!$F$2:$G$2</c:f>
              <c:numCache>
                <c:formatCode>General</c:formatCode>
                <c:ptCount val="2"/>
                <c:pt idx="0">
                  <c:v>1.8871400000000003</c:v>
                </c:pt>
                <c:pt idx="1">
                  <c:v>2.0928899999999997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C-4B77-9E44-7BC0FC66B3BD}"/>
            </c:ext>
          </c:extLst>
        </c:ser>
        <c:ser>
          <c:idx val="1"/>
          <c:order val="1"/>
          <c:tx>
            <c:strRef>
              <c:f>'Gait Velocities and Costs'!$E$3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Costs'!$F$3:$G$3</c:f>
              <c:numCache>
                <c:formatCode>General</c:formatCode>
                <c:ptCount val="2"/>
                <c:pt idx="0">
                  <c:v>1.9767433333333335</c:v>
                </c:pt>
                <c:pt idx="1">
                  <c:v>2.0169700000000002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C-4B77-9E44-7BC0FC66B3BD}"/>
            </c:ext>
          </c:extLst>
        </c:ser>
        <c:ser>
          <c:idx val="2"/>
          <c:order val="2"/>
          <c:tx>
            <c:strRef>
              <c:f>'Gait Velocities and Costs'!$E$4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Costs'!$F$4:$G$4</c:f>
              <c:numCache>
                <c:formatCode>General</c:formatCode>
                <c:ptCount val="2"/>
                <c:pt idx="0">
                  <c:v>1.92571</c:v>
                </c:pt>
                <c:pt idx="1">
                  <c:v>2.2788166666666667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C-4B77-9E44-7BC0FC66B3BD}"/>
            </c:ext>
          </c:extLst>
        </c:ser>
        <c:ser>
          <c:idx val="3"/>
          <c:order val="3"/>
          <c:tx>
            <c:strRef>
              <c:f>'Gait Velocities and Costs'!$E$5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Costs'!$F$5:$G$5</c:f>
              <c:numCache>
                <c:formatCode>General</c:formatCode>
                <c:ptCount val="2"/>
                <c:pt idx="0">
                  <c:v>1.8640866666666667</c:v>
                </c:pt>
                <c:pt idx="1">
                  <c:v>1.8585100000000003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C-4B77-9E44-7BC0FC66B3BD}"/>
            </c:ext>
          </c:extLst>
        </c:ser>
        <c:ser>
          <c:idx val="4"/>
          <c:order val="4"/>
          <c:tx>
            <c:strRef>
              <c:f>'Gait Velocities and Costs'!$E$6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Costs'!$F$6:$G$6</c:f>
              <c:numCache>
                <c:formatCode>General</c:formatCode>
                <c:ptCount val="2"/>
                <c:pt idx="0">
                  <c:v>2.0410599999999999</c:v>
                </c:pt>
                <c:pt idx="1">
                  <c:v>2.4680666666666666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C-4B77-9E44-7BC0FC66B3BD}"/>
            </c:ext>
          </c:extLst>
        </c:ser>
        <c:ser>
          <c:idx val="5"/>
          <c:order val="5"/>
          <c:tx>
            <c:strRef>
              <c:f>'Gait Velocities and Costs'!$E$7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Costs'!$F$7:$G$7</c:f>
              <c:numCache>
                <c:formatCode>General</c:formatCode>
                <c:ptCount val="2"/>
                <c:pt idx="0">
                  <c:v>1.7248133333333331</c:v>
                </c:pt>
                <c:pt idx="1">
                  <c:v>1.8039599999999998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2C-4B77-9E44-7BC0FC66B3BD}"/>
            </c:ext>
          </c:extLst>
        </c:ser>
        <c:ser>
          <c:idx val="6"/>
          <c:order val="6"/>
          <c:tx>
            <c:strRef>
              <c:f>'Gait Velocities and Costs'!$E$8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Costs'!$F$8:$G$8</c:f>
              <c:numCache>
                <c:formatCode>General</c:formatCode>
                <c:ptCount val="2"/>
                <c:pt idx="0">
                  <c:v>1.96946</c:v>
                </c:pt>
                <c:pt idx="1">
                  <c:v>2.2275066666666667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2C-4B77-9E44-7BC0FC66B3BD}"/>
            </c:ext>
          </c:extLst>
        </c:ser>
        <c:ser>
          <c:idx val="7"/>
          <c:order val="7"/>
          <c:tx>
            <c:strRef>
              <c:f>'Gait Velocities and Costs'!$E$9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Costs'!$F$9:$G$9</c:f>
              <c:numCache>
                <c:formatCode>General</c:formatCode>
                <c:ptCount val="2"/>
                <c:pt idx="0">
                  <c:v>1.9293633333333333</c:v>
                </c:pt>
                <c:pt idx="1">
                  <c:v>1.8210866666666667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2C-4B77-9E44-7BC0FC66B3BD}"/>
            </c:ext>
          </c:extLst>
        </c:ser>
        <c:ser>
          <c:idx val="8"/>
          <c:order val="8"/>
          <c:tx>
            <c:strRef>
              <c:f>'Gait Velocities and Costs'!$E$10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Costs'!$F$10:$G$10</c:f>
              <c:numCache>
                <c:formatCode>General</c:formatCode>
                <c:ptCount val="2"/>
                <c:pt idx="0">
                  <c:v>2.2271700000000001</c:v>
                </c:pt>
                <c:pt idx="1">
                  <c:v>2.0424233333333333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2C-4B77-9E44-7BC0FC66B3BD}"/>
            </c:ext>
          </c:extLst>
        </c:ser>
        <c:ser>
          <c:idx val="9"/>
          <c:order val="9"/>
          <c:tx>
            <c:strRef>
              <c:f>'Gait Velocities and Costs'!$E$11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Costs'!$F$11:$G$11</c:f>
              <c:numCache>
                <c:formatCode>General</c:formatCode>
                <c:ptCount val="2"/>
                <c:pt idx="0">
                  <c:v>2.2548066666666702</c:v>
                </c:pt>
                <c:pt idx="1">
                  <c:v>2.1742966666666668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2C-4B77-9E44-7BC0FC66B3BD}"/>
            </c:ext>
          </c:extLst>
        </c:ser>
        <c:ser>
          <c:idx val="10"/>
          <c:order val="10"/>
          <c:tx>
            <c:strRef>
              <c:f>'Gait Velocities and Costs'!$E$12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Costs'!$F$12:$G$12</c:f>
              <c:numCache>
                <c:formatCode>General</c:formatCode>
                <c:ptCount val="2"/>
                <c:pt idx="0">
                  <c:v>1.868853333333333</c:v>
                </c:pt>
                <c:pt idx="1">
                  <c:v>2.0737766666666668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2C-4B77-9E44-7BC0FC66B3BD}"/>
            </c:ext>
          </c:extLst>
        </c:ser>
        <c:ser>
          <c:idx val="11"/>
          <c:order val="11"/>
          <c:tx>
            <c:strRef>
              <c:f>'Gait Velocities and Costs'!$E$13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Costs'!$F$13:$G$13</c:f>
              <c:numCache>
                <c:formatCode>General</c:formatCode>
                <c:ptCount val="2"/>
                <c:pt idx="0">
                  <c:v>2.0168733333333333</c:v>
                </c:pt>
                <c:pt idx="1">
                  <c:v>2.4093299999999997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D2C-4B77-9E44-7BC0FC66B3BD}"/>
            </c:ext>
          </c:extLst>
        </c:ser>
        <c:ser>
          <c:idx val="12"/>
          <c:order val="12"/>
          <c:tx>
            <c:strRef>
              <c:f>'Gait Velocities and Costs'!$E$14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Costs'!$F$14:$G$14</c:f>
              <c:numCache>
                <c:formatCode>General</c:formatCode>
                <c:ptCount val="2"/>
                <c:pt idx="0">
                  <c:v>2.0209000000000001</c:v>
                </c:pt>
                <c:pt idx="1">
                  <c:v>2.0095333333333336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D2C-4B77-9E44-7BC0FC66B3BD}"/>
            </c:ext>
          </c:extLst>
        </c:ser>
        <c:ser>
          <c:idx val="13"/>
          <c:order val="13"/>
          <c:tx>
            <c:strRef>
              <c:f>'Gait Velocities and Costs'!$E$15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Costs'!$F$1:$G$1</c:f>
              <c:strCache>
                <c:ptCount val="2"/>
                <c:pt idx="0">
                  <c:v>FG_AvVel_Pre</c:v>
                </c:pt>
                <c:pt idx="1">
                  <c:v>FG_AvVel_Post</c:v>
                </c:pt>
              </c:strCache>
            </c:strRef>
          </c:cat>
          <c:val>
            <c:numRef>
              <c:f>'Gait Velocities and Costs'!$F$15:$G$15</c:f>
              <c:numCache>
                <c:formatCode>General</c:formatCode>
                <c:ptCount val="2"/>
                <c:pt idx="0">
                  <c:v>1.6308533333333333</c:v>
                </c:pt>
                <c:pt idx="1">
                  <c:v>1.9380466666666667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D2C-4B77-9E44-7BC0FC66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89808"/>
        <c:axId val="534725096"/>
      </c:lineChart>
      <c:catAx>
        <c:axId val="53568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25096"/>
        <c:crosses val="autoZero"/>
        <c:auto val="1"/>
        <c:lblAlgn val="ctr"/>
        <c:lblOffset val="100"/>
        <c:noMultiLvlLbl val="0"/>
      </c:catAx>
      <c:valAx>
        <c:axId val="53472509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8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Dual-Task Gait, Average Velocity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Costs'!$M$2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Costs'!$J$2:$K$2</c:f>
              <c:numCache>
                <c:formatCode>General</c:formatCode>
                <c:ptCount val="2"/>
                <c:pt idx="0">
                  <c:v>1.6980866666666665</c:v>
                </c:pt>
                <c:pt idx="1">
                  <c:v>1.7953933333333336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C-43DE-8256-A0C08C30EE7F}"/>
            </c:ext>
          </c:extLst>
        </c:ser>
        <c:ser>
          <c:idx val="1"/>
          <c:order val="1"/>
          <c:tx>
            <c:strRef>
              <c:f>'Gait Velocities and Costs'!$M$3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Costs'!$J$3:$K$3</c:f>
              <c:numCache>
                <c:formatCode>General</c:formatCode>
                <c:ptCount val="2"/>
                <c:pt idx="0">
                  <c:v>1.7372266666666667</c:v>
                </c:pt>
                <c:pt idx="1">
                  <c:v>1.8588999999999998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C-43DE-8256-A0C08C30EE7F}"/>
            </c:ext>
          </c:extLst>
        </c:ser>
        <c:ser>
          <c:idx val="2"/>
          <c:order val="2"/>
          <c:tx>
            <c:strRef>
              <c:f>'Gait Velocities and Costs'!$M$4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Costs'!$J$4:$K$4</c:f>
              <c:numCache>
                <c:formatCode>General</c:formatCode>
                <c:ptCount val="2"/>
                <c:pt idx="0">
                  <c:v>1.3403366666666667</c:v>
                </c:pt>
                <c:pt idx="1">
                  <c:v>1.8902033333333335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C-43DE-8256-A0C08C30EE7F}"/>
            </c:ext>
          </c:extLst>
        </c:ser>
        <c:ser>
          <c:idx val="3"/>
          <c:order val="3"/>
          <c:tx>
            <c:strRef>
              <c:f>'Gait Velocities and Costs'!$M$5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Costs'!$J$5:$K$5</c:f>
              <c:numCache>
                <c:formatCode>General</c:formatCode>
                <c:ptCount val="2"/>
                <c:pt idx="0">
                  <c:v>1.8287400000000003</c:v>
                </c:pt>
                <c:pt idx="1">
                  <c:v>1.8423400000000001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CC-43DE-8256-A0C08C30EE7F}"/>
            </c:ext>
          </c:extLst>
        </c:ser>
        <c:ser>
          <c:idx val="4"/>
          <c:order val="4"/>
          <c:tx>
            <c:strRef>
              <c:f>'Gait Velocities and Costs'!$M$6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Costs'!$J$6:$K$6</c:f>
              <c:numCache>
                <c:formatCode>General</c:formatCode>
                <c:ptCount val="2"/>
                <c:pt idx="0">
                  <c:v>1.8325666666666667</c:v>
                </c:pt>
                <c:pt idx="1">
                  <c:v>2.3895899999999997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CC-43DE-8256-A0C08C30EE7F}"/>
            </c:ext>
          </c:extLst>
        </c:ser>
        <c:ser>
          <c:idx val="5"/>
          <c:order val="5"/>
          <c:tx>
            <c:strRef>
              <c:f>'Gait Velocities and Costs'!$M$7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Costs'!$J$7:$K$7</c:f>
              <c:numCache>
                <c:formatCode>General</c:formatCode>
                <c:ptCount val="2"/>
                <c:pt idx="0">
                  <c:v>1.4995600000000002</c:v>
                </c:pt>
                <c:pt idx="1">
                  <c:v>1.6920900000000003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CC-43DE-8256-A0C08C30EE7F}"/>
            </c:ext>
          </c:extLst>
        </c:ser>
        <c:ser>
          <c:idx val="6"/>
          <c:order val="6"/>
          <c:tx>
            <c:strRef>
              <c:f>'Gait Velocities and Costs'!$M$8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Costs'!$J$8:$K$8</c:f>
              <c:numCache>
                <c:formatCode>General</c:formatCode>
                <c:ptCount val="2"/>
                <c:pt idx="0">
                  <c:v>1.6502433333333331</c:v>
                </c:pt>
                <c:pt idx="1">
                  <c:v>1.7221199999999999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CC-43DE-8256-A0C08C30EE7F}"/>
            </c:ext>
          </c:extLst>
        </c:ser>
        <c:ser>
          <c:idx val="7"/>
          <c:order val="7"/>
          <c:tx>
            <c:strRef>
              <c:f>'Gait Velocities and Costs'!$M$9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Costs'!$J$9:$K$9</c:f>
              <c:numCache>
                <c:formatCode>General</c:formatCode>
                <c:ptCount val="2"/>
                <c:pt idx="0">
                  <c:v>1.7329100000000002</c:v>
                </c:pt>
                <c:pt idx="1">
                  <c:v>1.9964733333333333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CC-43DE-8256-A0C08C30EE7F}"/>
            </c:ext>
          </c:extLst>
        </c:ser>
        <c:ser>
          <c:idx val="8"/>
          <c:order val="8"/>
          <c:tx>
            <c:strRef>
              <c:f>'Gait Velocities and Costs'!$M$10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Costs'!$J$10:$K$10</c:f>
              <c:numCache>
                <c:formatCode>General</c:formatCode>
                <c:ptCount val="2"/>
                <c:pt idx="0">
                  <c:v>1.99082</c:v>
                </c:pt>
                <c:pt idx="1">
                  <c:v>2.1135166666666669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CC-43DE-8256-A0C08C30EE7F}"/>
            </c:ext>
          </c:extLst>
        </c:ser>
        <c:ser>
          <c:idx val="9"/>
          <c:order val="9"/>
          <c:tx>
            <c:strRef>
              <c:f>'Gait Velocities and Costs'!$M$11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Costs'!$J$11:$K$11</c:f>
              <c:numCache>
                <c:formatCode>General</c:formatCode>
                <c:ptCount val="2"/>
                <c:pt idx="0">
                  <c:v>1.8286766666666667</c:v>
                </c:pt>
                <c:pt idx="1">
                  <c:v>1.8448533333333332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CC-43DE-8256-A0C08C30EE7F}"/>
            </c:ext>
          </c:extLst>
        </c:ser>
        <c:ser>
          <c:idx val="10"/>
          <c:order val="10"/>
          <c:tx>
            <c:strRef>
              <c:f>'Gait Velocities and Costs'!$M$12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Costs'!$J$12:$K$12</c:f>
              <c:numCache>
                <c:formatCode>General</c:formatCode>
                <c:ptCount val="2"/>
                <c:pt idx="0">
                  <c:v>1.9019433333333335</c:v>
                </c:pt>
                <c:pt idx="1">
                  <c:v>1.8559766666666666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CC-43DE-8256-A0C08C30EE7F}"/>
            </c:ext>
          </c:extLst>
        </c:ser>
        <c:ser>
          <c:idx val="11"/>
          <c:order val="11"/>
          <c:tx>
            <c:strRef>
              <c:f>'Gait Velocities and Costs'!$M$13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Costs'!$J$13:$K$13</c:f>
              <c:numCache>
                <c:formatCode>General</c:formatCode>
                <c:ptCount val="2"/>
                <c:pt idx="0">
                  <c:v>2.0822500000000002</c:v>
                </c:pt>
                <c:pt idx="1">
                  <c:v>2.3001199999999997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0CC-43DE-8256-A0C08C30EE7F}"/>
            </c:ext>
          </c:extLst>
        </c:ser>
        <c:ser>
          <c:idx val="12"/>
          <c:order val="12"/>
          <c:tx>
            <c:strRef>
              <c:f>'Gait Velocities and Costs'!$M$14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Costs'!$J$14:$K$14</c:f>
              <c:numCache>
                <c:formatCode>General</c:formatCode>
                <c:ptCount val="2"/>
                <c:pt idx="0">
                  <c:v>1.7741533333333335</c:v>
                </c:pt>
                <c:pt idx="1">
                  <c:v>1.7842999999999998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0CC-43DE-8256-A0C08C30EE7F}"/>
            </c:ext>
          </c:extLst>
        </c:ser>
        <c:ser>
          <c:idx val="13"/>
          <c:order val="13"/>
          <c:tx>
            <c:strRef>
              <c:f>'Gait Velocities and Costs'!$M$15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Costs'!$J$1:$K$1</c:f>
              <c:strCache>
                <c:ptCount val="2"/>
                <c:pt idx="0">
                  <c:v>DT_AvVe_Pre</c:v>
                </c:pt>
                <c:pt idx="1">
                  <c:v>DT_AvVel_Post</c:v>
                </c:pt>
              </c:strCache>
            </c:strRef>
          </c:cat>
          <c:val>
            <c:numRef>
              <c:f>'Gait Velocities and Costs'!$J$15:$K$15</c:f>
              <c:numCache>
                <c:formatCode>General</c:formatCode>
                <c:ptCount val="2"/>
                <c:pt idx="0">
                  <c:v>1.5775966666666668</c:v>
                </c:pt>
                <c:pt idx="1">
                  <c:v>1.6237866666666665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0CC-43DE-8256-A0C08C30E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725880"/>
        <c:axId val="534726272"/>
      </c:lineChart>
      <c:catAx>
        <c:axId val="53472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26272"/>
        <c:crosses val="autoZero"/>
        <c:auto val="1"/>
        <c:lblAlgn val="ctr"/>
        <c:lblOffset val="100"/>
        <c:noMultiLvlLbl val="0"/>
      </c:catAx>
      <c:valAx>
        <c:axId val="534726272"/>
        <c:scaling>
          <c:orientation val="minMax"/>
          <c:min val="1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2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Costs'!$M$2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Costs'!$N$2:$O$2</c:f>
              <c:numCache>
                <c:formatCode>General</c:formatCode>
                <c:ptCount val="2"/>
                <c:pt idx="0">
                  <c:v>0.10017981354501188</c:v>
                </c:pt>
                <c:pt idx="1">
                  <c:v>0.14214634628034256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A-4F0E-A90D-2EC6F7AC9108}"/>
            </c:ext>
          </c:extLst>
        </c:ser>
        <c:ser>
          <c:idx val="1"/>
          <c:order val="1"/>
          <c:tx>
            <c:strRef>
              <c:f>'Gait Velocities and Costs'!$M$3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Costs'!$N$3:$O$3</c:f>
              <c:numCache>
                <c:formatCode>General</c:formatCode>
                <c:ptCount val="2"/>
                <c:pt idx="0">
                  <c:v>0.121167307170211</c:v>
                </c:pt>
                <c:pt idx="1">
                  <c:v>7.8370030292964382E-2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A-4F0E-A90D-2EC6F7AC9108}"/>
            </c:ext>
          </c:extLst>
        </c:ser>
        <c:ser>
          <c:idx val="2"/>
          <c:order val="2"/>
          <c:tx>
            <c:strRef>
              <c:f>'Gait Velocities and Costs'!$M$4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Costs'!$N$4:$O$4</c:f>
              <c:numCache>
                <c:formatCode>General</c:formatCode>
                <c:ptCount val="2"/>
                <c:pt idx="0">
                  <c:v>0.30397792675601898</c:v>
                </c:pt>
                <c:pt idx="1">
                  <c:v>0.17053295204382388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A-4F0E-A90D-2EC6F7AC9108}"/>
            </c:ext>
          </c:extLst>
        </c:ser>
        <c:ser>
          <c:idx val="3"/>
          <c:order val="3"/>
          <c:tx>
            <c:strRef>
              <c:f>'Gait Velocities and Costs'!$M$5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Costs'!$N$5:$O$5</c:f>
              <c:numCache>
                <c:formatCode>General</c:formatCode>
                <c:ptCount val="2"/>
                <c:pt idx="0">
                  <c:v>1.896192237127731E-2</c:v>
                </c:pt>
                <c:pt idx="1">
                  <c:v>8.7005181570183835E-3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5A-4F0E-A90D-2EC6F7AC9108}"/>
            </c:ext>
          </c:extLst>
        </c:ser>
        <c:ser>
          <c:idx val="4"/>
          <c:order val="4"/>
          <c:tx>
            <c:strRef>
              <c:f>'Gait Velocities and Costs'!$M$6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Costs'!$N$6:$O$6</c:f>
              <c:numCache>
                <c:formatCode>General</c:formatCode>
                <c:ptCount val="2"/>
                <c:pt idx="0">
                  <c:v>0.10214953667865384</c:v>
                </c:pt>
                <c:pt idx="1">
                  <c:v>3.1796818022203736E-2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5A-4F0E-A90D-2EC6F7AC9108}"/>
            </c:ext>
          </c:extLst>
        </c:ser>
        <c:ser>
          <c:idx val="5"/>
          <c:order val="5"/>
          <c:tx>
            <c:strRef>
              <c:f>'Gait Velocities and Costs'!$M$7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Costs'!$N$7:$O$7</c:f>
              <c:numCache>
                <c:formatCode>General</c:formatCode>
                <c:ptCount val="2"/>
                <c:pt idx="0">
                  <c:v>0.13059577461522381</c:v>
                </c:pt>
                <c:pt idx="1">
                  <c:v>6.2013570145679216E-2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5A-4F0E-A90D-2EC6F7AC9108}"/>
            </c:ext>
          </c:extLst>
        </c:ser>
        <c:ser>
          <c:idx val="6"/>
          <c:order val="6"/>
          <c:tx>
            <c:strRef>
              <c:f>'Gait Velocities and Costs'!$M$8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Costs'!$N$8:$O$8</c:f>
              <c:numCache>
                <c:formatCode>General</c:formatCode>
                <c:ptCount val="2"/>
                <c:pt idx="0">
                  <c:v>0.16208334602716831</c:v>
                </c:pt>
                <c:pt idx="1">
                  <c:v>0.22688446873335216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5A-4F0E-A90D-2EC6F7AC9108}"/>
            </c:ext>
          </c:extLst>
        </c:ser>
        <c:ser>
          <c:idx val="7"/>
          <c:order val="7"/>
          <c:tx>
            <c:strRef>
              <c:f>'Gait Velocities and Costs'!$M$9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Costs'!$N$9:$O$9</c:f>
              <c:numCache>
                <c:formatCode>General</c:formatCode>
                <c:ptCount val="2"/>
                <c:pt idx="0">
                  <c:v>0.10182288112313378</c:v>
                </c:pt>
                <c:pt idx="1">
                  <c:v>-9.6308797311495289E-2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5A-4F0E-A90D-2EC6F7AC9108}"/>
            </c:ext>
          </c:extLst>
        </c:ser>
        <c:ser>
          <c:idx val="8"/>
          <c:order val="8"/>
          <c:tx>
            <c:strRef>
              <c:f>'Gait Velocities and Costs'!$M$10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Costs'!$N$10:$O$10</c:f>
              <c:numCache>
                <c:formatCode>General</c:formatCode>
                <c:ptCount val="2"/>
                <c:pt idx="0">
                  <c:v>0.10612122110121816</c:v>
                </c:pt>
                <c:pt idx="1">
                  <c:v>-3.4808324098660748E-2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5A-4F0E-A90D-2EC6F7AC9108}"/>
            </c:ext>
          </c:extLst>
        </c:ser>
        <c:ser>
          <c:idx val="9"/>
          <c:order val="9"/>
          <c:tx>
            <c:strRef>
              <c:f>'Gait Velocities and Costs'!$M$11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Costs'!$N$11:$O$11</c:f>
              <c:numCache>
                <c:formatCode>General</c:formatCode>
                <c:ptCount val="2"/>
                <c:pt idx="0">
                  <c:v>0.18898737807528337</c:v>
                </c:pt>
                <c:pt idx="1">
                  <c:v>0.15151719559888341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5A-4F0E-A90D-2EC6F7AC9108}"/>
            </c:ext>
          </c:extLst>
        </c:ser>
        <c:ser>
          <c:idx val="10"/>
          <c:order val="10"/>
          <c:tx>
            <c:strRef>
              <c:f>'Gait Velocities and Costs'!$M$12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Costs'!$N$12:$O$12</c:f>
              <c:numCache>
                <c:formatCode>General</c:formatCode>
                <c:ptCount val="2"/>
                <c:pt idx="0">
                  <c:v>-1.7706044348049701E-2</c:v>
                </c:pt>
                <c:pt idx="1">
                  <c:v>0.10502577423155508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5A-4F0E-A90D-2EC6F7AC9108}"/>
            </c:ext>
          </c:extLst>
        </c:ser>
        <c:ser>
          <c:idx val="11"/>
          <c:order val="11"/>
          <c:tx>
            <c:strRef>
              <c:f>'Gait Velocities and Costs'!$M$13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Costs'!$N$13:$O$13</c:f>
              <c:numCache>
                <c:formatCode>General</c:formatCode>
                <c:ptCount val="2"/>
                <c:pt idx="0">
                  <c:v>-3.2414859964764037E-2</c:v>
                </c:pt>
                <c:pt idx="1">
                  <c:v>4.532795424454103E-2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45A-4F0E-A90D-2EC6F7AC9108}"/>
            </c:ext>
          </c:extLst>
        </c:ser>
        <c:ser>
          <c:idx val="12"/>
          <c:order val="12"/>
          <c:tx>
            <c:strRef>
              <c:f>'Gait Velocities and Costs'!$M$14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Costs'!$N$14:$O$14</c:f>
              <c:numCache>
                <c:formatCode>General</c:formatCode>
                <c:ptCount val="2"/>
                <c:pt idx="0">
                  <c:v>0.12209741534299899</c:v>
                </c:pt>
                <c:pt idx="1">
                  <c:v>0.11208240719238322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45A-4F0E-A90D-2EC6F7AC9108}"/>
            </c:ext>
          </c:extLst>
        </c:ser>
        <c:ser>
          <c:idx val="13"/>
          <c:order val="13"/>
          <c:tx>
            <c:strRef>
              <c:f>'Gait Velocities and Costs'!$M$15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Costs'!$N$1:$O$1</c:f>
              <c:strCache>
                <c:ptCount val="2"/>
                <c:pt idx="0">
                  <c:v>Vel_COST_Pre</c:v>
                </c:pt>
                <c:pt idx="1">
                  <c:v>Vel_COST_Post_</c:v>
                </c:pt>
              </c:strCache>
            </c:strRef>
          </c:cat>
          <c:val>
            <c:numRef>
              <c:f>'Gait Velocities and Costs'!$N$15:$O$15</c:f>
              <c:numCache>
                <c:formatCode>General</c:formatCode>
                <c:ptCount val="2"/>
                <c:pt idx="0">
                  <c:v>3.2655705806367126E-2</c:v>
                </c:pt>
                <c:pt idx="1">
                  <c:v>0.16215295813310318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45A-4F0E-A90D-2EC6F7AC9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727056"/>
        <c:axId val="534727448"/>
      </c:lineChart>
      <c:catAx>
        <c:axId val="53472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27448"/>
        <c:crosses val="autoZero"/>
        <c:auto val="1"/>
        <c:lblAlgn val="ctr"/>
        <c:lblOffset val="100"/>
        <c:noMultiLvlLbl val="0"/>
      </c:catAx>
      <c:valAx>
        <c:axId val="53472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2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Cognitive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Costs'!$AG$2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Costs'!$R$2:$S$2</c:f>
              <c:numCache>
                <c:formatCode>General</c:formatCode>
                <c:ptCount val="2"/>
                <c:pt idx="0">
                  <c:v>-0.93026910899909165</c:v>
                </c:pt>
                <c:pt idx="1">
                  <c:v>-0.70836349460977055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8-466A-B3FA-A6322D20D81A}"/>
            </c:ext>
          </c:extLst>
        </c:ser>
        <c:ser>
          <c:idx val="1"/>
          <c:order val="1"/>
          <c:tx>
            <c:strRef>
              <c:f>'Gait Velocities and Costs'!$AG$3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Costs'!$R$3:$S$3</c:f>
              <c:numCache>
                <c:formatCode>General</c:formatCode>
                <c:ptCount val="2"/>
                <c:pt idx="0">
                  <c:v>-0.80412224911146823</c:v>
                </c:pt>
                <c:pt idx="1">
                  <c:v>-0.68982191438543183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8-466A-B3FA-A6322D20D81A}"/>
            </c:ext>
          </c:extLst>
        </c:ser>
        <c:ser>
          <c:idx val="2"/>
          <c:order val="2"/>
          <c:tx>
            <c:strRef>
              <c:f>'Gait Velocities and Costs'!$AG$4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Costs'!$R$4:$S$4</c:f>
              <c:numCache>
                <c:formatCode>General</c:formatCode>
                <c:ptCount val="2"/>
                <c:pt idx="0">
                  <c:v>-0.98545214639531986</c:v>
                </c:pt>
                <c:pt idx="1">
                  <c:v>-0.93115582976744549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8-466A-B3FA-A6322D20D81A}"/>
            </c:ext>
          </c:extLst>
        </c:ser>
        <c:ser>
          <c:idx val="3"/>
          <c:order val="3"/>
          <c:tx>
            <c:strRef>
              <c:f>'Gait Velocities and Costs'!$AG$5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Costs'!$R$5:$S$5</c:f>
              <c:numCache>
                <c:formatCode>General</c:formatCode>
                <c:ptCount val="2"/>
                <c:pt idx="0">
                  <c:v>-0.51062950823399145</c:v>
                </c:pt>
                <c:pt idx="1">
                  <c:v>-0.59836806880245064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28-466A-B3FA-A6322D20D81A}"/>
            </c:ext>
          </c:extLst>
        </c:ser>
        <c:ser>
          <c:idx val="4"/>
          <c:order val="4"/>
          <c:tx>
            <c:strRef>
              <c:f>'Gait Velocities and Costs'!$AG$6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Costs'!$R$6:$S$6</c:f>
              <c:numCache>
                <c:formatCode>General</c:formatCode>
                <c:ptCount val="2"/>
                <c:pt idx="0">
                  <c:v>-0.54793649600940197</c:v>
                </c:pt>
                <c:pt idx="1">
                  <c:v>-3.2146370014677466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28-466A-B3FA-A6322D20D81A}"/>
            </c:ext>
          </c:extLst>
        </c:ser>
        <c:ser>
          <c:idx val="5"/>
          <c:order val="5"/>
          <c:tx>
            <c:strRef>
              <c:f>'Gait Velocities and Costs'!$AG$7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Costs'!$R$7:$S$7</c:f>
              <c:numCache>
                <c:formatCode>General</c:formatCode>
                <c:ptCount val="2"/>
                <c:pt idx="0">
                  <c:v>-0.18648314692945575</c:v>
                </c:pt>
                <c:pt idx="1">
                  <c:v>-2.0099564948147406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28-466A-B3FA-A6322D20D81A}"/>
            </c:ext>
          </c:extLst>
        </c:ser>
        <c:ser>
          <c:idx val="6"/>
          <c:order val="6"/>
          <c:tx>
            <c:strRef>
              <c:f>'Gait Velocities and Costs'!$AG$8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Costs'!$R$8:$S$8</c:f>
              <c:numCache>
                <c:formatCode>General</c:formatCode>
                <c:ptCount val="2"/>
                <c:pt idx="0">
                  <c:v>-0.15270209050643729</c:v>
                </c:pt>
                <c:pt idx="1">
                  <c:v>-0.64705162744360567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28-466A-B3FA-A6322D20D81A}"/>
            </c:ext>
          </c:extLst>
        </c:ser>
        <c:ser>
          <c:idx val="7"/>
          <c:order val="7"/>
          <c:tx>
            <c:strRef>
              <c:f>'Gait Velocities and Costs'!$AG$9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Costs'!$R$9:$S$9</c:f>
              <c:numCache>
                <c:formatCode>General</c:formatCode>
                <c:ptCount val="2"/>
                <c:pt idx="0">
                  <c:v>-0.59804396143225746</c:v>
                </c:pt>
                <c:pt idx="1">
                  <c:v>-1.118389027730406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28-466A-B3FA-A6322D20D81A}"/>
            </c:ext>
          </c:extLst>
        </c:ser>
        <c:ser>
          <c:idx val="8"/>
          <c:order val="8"/>
          <c:tx>
            <c:strRef>
              <c:f>'Gait Velocities and Costs'!$AG$10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Costs'!$R$10:$S$10</c:f>
              <c:numCache>
                <c:formatCode>General</c:formatCode>
                <c:ptCount val="2"/>
                <c:pt idx="0">
                  <c:v>-0.72408783238552821</c:v>
                </c:pt>
                <c:pt idx="1">
                  <c:v>-0.11088188831491243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28-466A-B3FA-A6322D20D81A}"/>
            </c:ext>
          </c:extLst>
        </c:ser>
        <c:ser>
          <c:idx val="9"/>
          <c:order val="9"/>
          <c:tx>
            <c:strRef>
              <c:f>'Gait Velocities and Costs'!$AG$11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Costs'!$R$11:$S$11</c:f>
              <c:numCache>
                <c:formatCode>General</c:formatCode>
                <c:ptCount val="2"/>
                <c:pt idx="0">
                  <c:v>-0.25695546408220632</c:v>
                </c:pt>
                <c:pt idx="1">
                  <c:v>-0.74667990677329743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28-466A-B3FA-A6322D20D81A}"/>
            </c:ext>
          </c:extLst>
        </c:ser>
        <c:ser>
          <c:idx val="10"/>
          <c:order val="10"/>
          <c:tx>
            <c:strRef>
              <c:f>'Gait Velocities and Costs'!$AG$12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Costs'!$R$12:$S$12</c:f>
              <c:numCache>
                <c:formatCode>General</c:formatCode>
                <c:ptCount val="2"/>
                <c:pt idx="0">
                  <c:v>-1.1874366053527141</c:v>
                </c:pt>
                <c:pt idx="1">
                  <c:v>-1.1534151818900287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028-466A-B3FA-A6322D20D81A}"/>
            </c:ext>
          </c:extLst>
        </c:ser>
        <c:ser>
          <c:idx val="11"/>
          <c:order val="11"/>
          <c:tx>
            <c:strRef>
              <c:f>'Gait Velocities and Costs'!$AG$13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Costs'!$R$13:$S$13</c:f>
              <c:numCache>
                <c:formatCode>General</c:formatCode>
                <c:ptCount val="2"/>
                <c:pt idx="0">
                  <c:v>-2.4256666370336504</c:v>
                </c:pt>
                <c:pt idx="1">
                  <c:v>-1.4033827836109205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28-466A-B3FA-A6322D20D81A}"/>
            </c:ext>
          </c:extLst>
        </c:ser>
        <c:ser>
          <c:idx val="12"/>
          <c:order val="12"/>
          <c:tx>
            <c:strRef>
              <c:f>'Gait Velocities and Costs'!$AG$14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Costs'!$R$14:$S$14</c:f>
              <c:numCache>
                <c:formatCode>General</c:formatCode>
                <c:ptCount val="2"/>
                <c:pt idx="0">
                  <c:v>-1.3776964560862863</c:v>
                </c:pt>
                <c:pt idx="1">
                  <c:v>-1.359722701718882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028-466A-B3FA-A6322D20D81A}"/>
            </c:ext>
          </c:extLst>
        </c:ser>
        <c:ser>
          <c:idx val="13"/>
          <c:order val="13"/>
          <c:tx>
            <c:strRef>
              <c:f>'Gait Velocities and Costs'!$AG$15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Costs'!$R$1:$S$1</c:f>
              <c:strCache>
                <c:ptCount val="2"/>
                <c:pt idx="0">
                  <c:v>Cog_COST_Pre</c:v>
                </c:pt>
                <c:pt idx="1">
                  <c:v>Cog_COST_Post</c:v>
                </c:pt>
              </c:strCache>
            </c:strRef>
          </c:cat>
          <c:val>
            <c:numRef>
              <c:f>'Gait Velocities and Costs'!$R$15:$S$15</c:f>
              <c:numCache>
                <c:formatCode>General</c:formatCode>
                <c:ptCount val="2"/>
                <c:pt idx="0">
                  <c:v>-0.76627837409768851</c:v>
                </c:pt>
                <c:pt idx="1">
                  <c:v>-1.4513087159601652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028-466A-B3FA-A6322D20D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728232"/>
        <c:axId val="534728624"/>
      </c:lineChart>
      <c:catAx>
        <c:axId val="53472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28624"/>
        <c:crosses val="autoZero"/>
        <c:auto val="1"/>
        <c:lblAlgn val="ctr"/>
        <c:lblOffset val="100"/>
        <c:noMultiLvlLbl val="0"/>
      </c:catAx>
      <c:valAx>
        <c:axId val="53472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2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Self_Selected Gait,</a:t>
            </a:r>
            <a:r>
              <a:rPr lang="en-US" baseline="0"/>
              <a:t> Average Stride Length (m/s)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Costs'!$AG$2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Costs'!$V$2:$W$2</c:f>
              <c:numCache>
                <c:formatCode>General</c:formatCode>
                <c:ptCount val="2"/>
                <c:pt idx="0">
                  <c:v>1.4993399999999999</c:v>
                </c:pt>
                <c:pt idx="1">
                  <c:v>1.5030366666666699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6-480A-BFDD-1D08B5567132}"/>
            </c:ext>
          </c:extLst>
        </c:ser>
        <c:ser>
          <c:idx val="1"/>
          <c:order val="1"/>
          <c:tx>
            <c:strRef>
              <c:f>'Gait Velocities and Costs'!$AG$3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Costs'!$V$3:$W$3</c:f>
              <c:numCache>
                <c:formatCode>General</c:formatCode>
                <c:ptCount val="2"/>
                <c:pt idx="0">
                  <c:v>1.5025166666666667</c:v>
                </c:pt>
                <c:pt idx="1">
                  <c:v>1.5155000000000001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6-480A-BFDD-1D08B5567132}"/>
            </c:ext>
          </c:extLst>
        </c:ser>
        <c:ser>
          <c:idx val="2"/>
          <c:order val="2"/>
          <c:tx>
            <c:strRef>
              <c:f>'Gait Velocities and Costs'!$AG$4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Costs'!$V$4:$W$4</c:f>
              <c:numCache>
                <c:formatCode>General</c:formatCode>
                <c:ptCount val="2"/>
                <c:pt idx="0">
                  <c:v>1.2960733333333334</c:v>
                </c:pt>
                <c:pt idx="1">
                  <c:v>1.2475733333333334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6-480A-BFDD-1D08B5567132}"/>
            </c:ext>
          </c:extLst>
        </c:ser>
        <c:ser>
          <c:idx val="3"/>
          <c:order val="3"/>
          <c:tx>
            <c:strRef>
              <c:f>'Gait Velocities and Costs'!$AG$5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Costs'!$V$5:$W$5</c:f>
              <c:numCache>
                <c:formatCode>General</c:formatCode>
                <c:ptCount val="2"/>
                <c:pt idx="0">
                  <c:v>1.3540399999999999</c:v>
                </c:pt>
                <c:pt idx="1">
                  <c:v>1.3904999999999998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66-480A-BFDD-1D08B5567132}"/>
            </c:ext>
          </c:extLst>
        </c:ser>
        <c:ser>
          <c:idx val="4"/>
          <c:order val="4"/>
          <c:tx>
            <c:strRef>
              <c:f>'Gait Velocities and Costs'!$AG$6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Costs'!$V$6:$W$6</c:f>
              <c:numCache>
                <c:formatCode>General</c:formatCode>
                <c:ptCount val="2"/>
                <c:pt idx="0">
                  <c:v>1.4425233333333332</c:v>
                </c:pt>
                <c:pt idx="1">
                  <c:v>1.5059933333333333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66-480A-BFDD-1D08B5567132}"/>
            </c:ext>
          </c:extLst>
        </c:ser>
        <c:ser>
          <c:idx val="5"/>
          <c:order val="5"/>
          <c:tx>
            <c:strRef>
              <c:f>'Gait Velocities and Costs'!$AG$7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Costs'!$V$7:$W$7</c:f>
              <c:numCache>
                <c:formatCode>General</c:formatCode>
                <c:ptCount val="2"/>
                <c:pt idx="0">
                  <c:v>1.3720166666666669</c:v>
                </c:pt>
                <c:pt idx="1">
                  <c:v>1.3071466666666667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66-480A-BFDD-1D08B5567132}"/>
            </c:ext>
          </c:extLst>
        </c:ser>
        <c:ser>
          <c:idx val="6"/>
          <c:order val="6"/>
          <c:tx>
            <c:strRef>
              <c:f>'Gait Velocities and Costs'!$AG$8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Costs'!$V$8:$W$8</c:f>
              <c:numCache>
                <c:formatCode>General</c:formatCode>
                <c:ptCount val="2"/>
                <c:pt idx="0">
                  <c:v>1.4312666666666667</c:v>
                </c:pt>
                <c:pt idx="1">
                  <c:v>1.5914299999999999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66-480A-BFDD-1D08B5567132}"/>
            </c:ext>
          </c:extLst>
        </c:ser>
        <c:ser>
          <c:idx val="7"/>
          <c:order val="7"/>
          <c:tx>
            <c:strRef>
              <c:f>'Gait Velocities and Costs'!$AG$9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Costs'!$V$9:$W$9</c:f>
              <c:numCache>
                <c:formatCode>General</c:formatCode>
                <c:ptCount val="2"/>
                <c:pt idx="0">
                  <c:v>1.3315433333333333</c:v>
                </c:pt>
                <c:pt idx="1">
                  <c:v>1.3232599999999999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66-480A-BFDD-1D08B5567132}"/>
            </c:ext>
          </c:extLst>
        </c:ser>
        <c:ser>
          <c:idx val="8"/>
          <c:order val="8"/>
          <c:tx>
            <c:strRef>
              <c:f>'Gait Velocities and Costs'!$AG$10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Costs'!$V$10:$W$10</c:f>
              <c:numCache>
                <c:formatCode>General</c:formatCode>
                <c:ptCount val="2"/>
                <c:pt idx="0">
                  <c:v>1.39371</c:v>
                </c:pt>
                <c:pt idx="1">
                  <c:v>1.3702566666666667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66-480A-BFDD-1D08B5567132}"/>
            </c:ext>
          </c:extLst>
        </c:ser>
        <c:ser>
          <c:idx val="9"/>
          <c:order val="9"/>
          <c:tx>
            <c:strRef>
              <c:f>'Gait Velocities and Costs'!$AG$11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Costs'!$V$11:$W$11</c:f>
              <c:numCache>
                <c:formatCode>General</c:formatCode>
                <c:ptCount val="2"/>
                <c:pt idx="0">
                  <c:v>1.3391999999999999</c:v>
                </c:pt>
                <c:pt idx="1">
                  <c:v>1.2684800000000001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66-480A-BFDD-1D08B5567132}"/>
            </c:ext>
          </c:extLst>
        </c:ser>
        <c:ser>
          <c:idx val="10"/>
          <c:order val="10"/>
          <c:tx>
            <c:strRef>
              <c:f>'Gait Velocities and Costs'!$AG$12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Costs'!$V$12:$W$12</c:f>
              <c:numCache>
                <c:formatCode>General</c:formatCode>
                <c:ptCount val="2"/>
                <c:pt idx="0">
                  <c:v>1.2070866666666666</c:v>
                </c:pt>
                <c:pt idx="1">
                  <c:v>1.35808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66-480A-BFDD-1D08B5567132}"/>
            </c:ext>
          </c:extLst>
        </c:ser>
        <c:ser>
          <c:idx val="11"/>
          <c:order val="11"/>
          <c:tx>
            <c:strRef>
              <c:f>'Gait Velocities and Costs'!$AG$13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Costs'!$V$13:$W$13</c:f>
              <c:numCache>
                <c:formatCode>General</c:formatCode>
                <c:ptCount val="2"/>
                <c:pt idx="0">
                  <c:v>1.4704133333333333</c:v>
                </c:pt>
                <c:pt idx="1">
                  <c:v>1.4729066666666666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66-480A-BFDD-1D08B5567132}"/>
            </c:ext>
          </c:extLst>
        </c:ser>
        <c:ser>
          <c:idx val="12"/>
          <c:order val="12"/>
          <c:tx>
            <c:strRef>
              <c:f>'Gait Velocities and Costs'!$AG$14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Costs'!$V$14:$W$14</c:f>
              <c:numCache>
                <c:formatCode>General</c:formatCode>
                <c:ptCount val="2"/>
                <c:pt idx="0">
                  <c:v>1.4545133333333333</c:v>
                </c:pt>
                <c:pt idx="1">
                  <c:v>1.5705266666666666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66-480A-BFDD-1D08B5567132}"/>
            </c:ext>
          </c:extLst>
        </c:ser>
        <c:ser>
          <c:idx val="13"/>
          <c:order val="13"/>
          <c:tx>
            <c:strRef>
              <c:f>'Gait Velocities and Costs'!$AG$15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Costs'!$V$1:$W$1</c:f>
              <c:strCache>
                <c:ptCount val="2"/>
                <c:pt idx="0">
                  <c:v>SS_AvStrLength_Pre</c:v>
                </c:pt>
                <c:pt idx="1">
                  <c:v>SS_AvStrLength_Post</c:v>
                </c:pt>
              </c:strCache>
            </c:strRef>
          </c:cat>
          <c:val>
            <c:numRef>
              <c:f>'Gait Velocities and Costs'!$V$15:$W$15</c:f>
              <c:numCache>
                <c:formatCode>General</c:formatCode>
                <c:ptCount val="2"/>
                <c:pt idx="0">
                  <c:v>1.4278333333333333</c:v>
                </c:pt>
                <c:pt idx="1">
                  <c:v>1.3764600000000002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66-480A-BFDD-1D08B5567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572680"/>
        <c:axId val="472573072"/>
      </c:lineChart>
      <c:catAx>
        <c:axId val="47257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573072"/>
        <c:crosses val="autoZero"/>
        <c:auto val="1"/>
        <c:lblAlgn val="ctr"/>
        <c:lblOffset val="100"/>
        <c:noMultiLvlLbl val="0"/>
      </c:catAx>
      <c:valAx>
        <c:axId val="472573072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572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 Gait, Average Stride Length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Costs'!$AG$2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Costs'!$Z$2:$AA$2</c:f>
              <c:numCache>
                <c:formatCode>General</c:formatCode>
                <c:ptCount val="2"/>
                <c:pt idx="0">
                  <c:v>1.6046033333333336</c:v>
                </c:pt>
                <c:pt idx="1">
                  <c:v>1.6062866666666664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5-4A84-8496-2BEABEBA5A4E}"/>
            </c:ext>
          </c:extLst>
        </c:ser>
        <c:ser>
          <c:idx val="1"/>
          <c:order val="1"/>
          <c:tx>
            <c:strRef>
              <c:f>'Gait Velocities and Costs'!$AG$3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Costs'!$Z$3:$AA$3</c:f>
              <c:numCache>
                <c:formatCode>General</c:formatCode>
                <c:ptCount val="2"/>
                <c:pt idx="0">
                  <c:v>1.7722333333333335</c:v>
                </c:pt>
                <c:pt idx="1">
                  <c:v>1.7720233333333331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5-4A84-8496-2BEABEBA5A4E}"/>
            </c:ext>
          </c:extLst>
        </c:ser>
        <c:ser>
          <c:idx val="2"/>
          <c:order val="2"/>
          <c:tx>
            <c:strRef>
              <c:f>'Gait Velocities and Costs'!$AG$4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Costs'!$Z$4:$AA$4</c:f>
              <c:numCache>
                <c:formatCode>General</c:formatCode>
                <c:ptCount val="2"/>
                <c:pt idx="0">
                  <c:v>1.3890066666666667</c:v>
                </c:pt>
                <c:pt idx="1">
                  <c:v>1.4575866666666664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5-4A84-8496-2BEABEBA5A4E}"/>
            </c:ext>
          </c:extLst>
        </c:ser>
        <c:ser>
          <c:idx val="3"/>
          <c:order val="3"/>
          <c:tx>
            <c:strRef>
              <c:f>'Gait Velocities and Costs'!$AG$5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Costs'!$Z$5:$AA$5</c:f>
              <c:numCache>
                <c:formatCode>General</c:formatCode>
                <c:ptCount val="2"/>
                <c:pt idx="0">
                  <c:v>1.4311866666666666</c:v>
                </c:pt>
                <c:pt idx="1">
                  <c:v>1.5011533333333333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25-4A84-8496-2BEABEBA5A4E}"/>
            </c:ext>
          </c:extLst>
        </c:ser>
        <c:ser>
          <c:idx val="4"/>
          <c:order val="4"/>
          <c:tx>
            <c:strRef>
              <c:f>'Gait Velocities and Costs'!$AG$6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Costs'!$Z$6:$AA$6</c:f>
              <c:numCache>
                <c:formatCode>General</c:formatCode>
                <c:ptCount val="2"/>
                <c:pt idx="0">
                  <c:v>1.8627133333333337</c:v>
                </c:pt>
                <c:pt idx="1">
                  <c:v>1.9267166666666666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25-4A84-8496-2BEABEBA5A4E}"/>
            </c:ext>
          </c:extLst>
        </c:ser>
        <c:ser>
          <c:idx val="5"/>
          <c:order val="5"/>
          <c:tx>
            <c:strRef>
              <c:f>'Gait Velocities and Costs'!$AG$7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Costs'!$Z$7:$AA$7</c:f>
              <c:numCache>
                <c:formatCode>General</c:formatCode>
                <c:ptCount val="2"/>
                <c:pt idx="0">
                  <c:v>1.463073333333333</c:v>
                </c:pt>
                <c:pt idx="1">
                  <c:v>1.5080533333333332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25-4A84-8496-2BEABEBA5A4E}"/>
            </c:ext>
          </c:extLst>
        </c:ser>
        <c:ser>
          <c:idx val="6"/>
          <c:order val="6"/>
          <c:tx>
            <c:strRef>
              <c:f>'Gait Velocities and Costs'!$AG$8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Costs'!$Z$8:$AA$8</c:f>
              <c:numCache>
                <c:formatCode>General</c:formatCode>
                <c:ptCount val="2"/>
                <c:pt idx="0">
                  <c:v>1.8007433333333334</c:v>
                </c:pt>
                <c:pt idx="1">
                  <c:v>1.8681700000000001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25-4A84-8496-2BEABEBA5A4E}"/>
            </c:ext>
          </c:extLst>
        </c:ser>
        <c:ser>
          <c:idx val="7"/>
          <c:order val="7"/>
          <c:tx>
            <c:strRef>
              <c:f>'Gait Velocities and Costs'!$AG$9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Costs'!$Z$9:$AA$9</c:f>
              <c:numCache>
                <c:formatCode>General</c:formatCode>
                <c:ptCount val="2"/>
                <c:pt idx="0">
                  <c:v>1.1616899999999999</c:v>
                </c:pt>
                <c:pt idx="1">
                  <c:v>1.4754999999999998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25-4A84-8496-2BEABEBA5A4E}"/>
            </c:ext>
          </c:extLst>
        </c:ser>
        <c:ser>
          <c:idx val="8"/>
          <c:order val="8"/>
          <c:tx>
            <c:strRef>
              <c:f>'Gait Velocities and Costs'!$AG$10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Costs'!$Z$10:$AA$10</c:f>
              <c:numCache>
                <c:formatCode>General</c:formatCode>
                <c:ptCount val="2"/>
                <c:pt idx="0">
                  <c:v>1.4604200000000001</c:v>
                </c:pt>
                <c:pt idx="1">
                  <c:v>1.5155366666666665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B25-4A84-8496-2BEABEBA5A4E}"/>
            </c:ext>
          </c:extLst>
        </c:ser>
        <c:ser>
          <c:idx val="9"/>
          <c:order val="9"/>
          <c:tx>
            <c:strRef>
              <c:f>'Gait Velocities and Costs'!$AG$11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Costs'!$Z$11:$AA$11</c:f>
              <c:numCache>
                <c:formatCode>General</c:formatCode>
                <c:ptCount val="2"/>
                <c:pt idx="0">
                  <c:v>1.3673766666666665</c:v>
                </c:pt>
                <c:pt idx="1">
                  <c:v>1.5436300000000001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B25-4A84-8496-2BEABEBA5A4E}"/>
            </c:ext>
          </c:extLst>
        </c:ser>
        <c:ser>
          <c:idx val="10"/>
          <c:order val="10"/>
          <c:tx>
            <c:strRef>
              <c:f>'Gait Velocities and Costs'!$AG$12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Costs'!$Z$12:$AA$12</c:f>
              <c:numCache>
                <c:formatCode>General</c:formatCode>
                <c:ptCount val="2"/>
                <c:pt idx="0">
                  <c:v>1.6161133333333331</c:v>
                </c:pt>
                <c:pt idx="1">
                  <c:v>1.7847899999999997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25-4A84-8496-2BEABEBA5A4E}"/>
            </c:ext>
          </c:extLst>
        </c:ser>
        <c:ser>
          <c:idx val="11"/>
          <c:order val="11"/>
          <c:tx>
            <c:strRef>
              <c:f>'Gait Velocities and Costs'!$AG$13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Costs'!$Z$13:$AA$13</c:f>
              <c:numCache>
                <c:formatCode>General</c:formatCode>
                <c:ptCount val="2"/>
                <c:pt idx="0">
                  <c:v>1.7893700000000001</c:v>
                </c:pt>
                <c:pt idx="1">
                  <c:v>1.6589333333333331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B25-4A84-8496-2BEABEBA5A4E}"/>
            </c:ext>
          </c:extLst>
        </c:ser>
        <c:ser>
          <c:idx val="12"/>
          <c:order val="12"/>
          <c:tx>
            <c:strRef>
              <c:f>'Gait Velocities and Costs'!$AG$14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Costs'!$Z$14:$AA$14</c:f>
              <c:numCache>
                <c:formatCode>General</c:formatCode>
                <c:ptCount val="2"/>
                <c:pt idx="0">
                  <c:v>1.6388033333333332</c:v>
                </c:pt>
                <c:pt idx="1">
                  <c:v>1.5885833333333335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B25-4A84-8496-2BEABEBA5A4E}"/>
            </c:ext>
          </c:extLst>
        </c:ser>
        <c:ser>
          <c:idx val="13"/>
          <c:order val="13"/>
          <c:tx>
            <c:strRef>
              <c:f>'Gait Velocities and Costs'!$AG$15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Costs'!$Z$1:$AA$1</c:f>
              <c:strCache>
                <c:ptCount val="2"/>
                <c:pt idx="0">
                  <c:v>FG_AvStrLength_Pre</c:v>
                </c:pt>
                <c:pt idx="1">
                  <c:v>FG_AvStrLength_Post</c:v>
                </c:pt>
              </c:strCache>
            </c:strRef>
          </c:cat>
          <c:val>
            <c:numRef>
              <c:f>'Gait Velocities and Costs'!$Z$15:$AA$15</c:f>
              <c:numCache>
                <c:formatCode>General</c:formatCode>
                <c:ptCount val="2"/>
                <c:pt idx="0">
                  <c:v>1.5086533333333336</c:v>
                </c:pt>
                <c:pt idx="1">
                  <c:v>1.6248500000000001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B25-4A84-8496-2BEABEBA5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573856"/>
        <c:axId val="472574248"/>
      </c:lineChart>
      <c:catAx>
        <c:axId val="4725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574248"/>
        <c:crosses val="autoZero"/>
        <c:auto val="1"/>
        <c:lblAlgn val="ctr"/>
        <c:lblOffset val="100"/>
        <c:noMultiLvlLbl val="0"/>
      </c:catAx>
      <c:valAx>
        <c:axId val="47257424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5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Dual Task Gait, Average Stride Length (m/s)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Costs'!$AG$2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Costs'!$AD$2:$AE$2</c:f>
              <c:numCache>
                <c:formatCode>General</c:formatCode>
                <c:ptCount val="2"/>
                <c:pt idx="0">
                  <c:v>1.5301633333333333</c:v>
                </c:pt>
                <c:pt idx="1">
                  <c:v>1.6007933333333335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1-4795-9A71-6CCE47706A4E}"/>
            </c:ext>
          </c:extLst>
        </c:ser>
        <c:ser>
          <c:idx val="1"/>
          <c:order val="1"/>
          <c:tx>
            <c:strRef>
              <c:f>'Gait Velocities and Costs'!$AG$3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Costs'!$AD$3:$AE$3</c:f>
              <c:numCache>
                <c:formatCode>General</c:formatCode>
                <c:ptCount val="2"/>
                <c:pt idx="0">
                  <c:v>1.7287033333333333</c:v>
                </c:pt>
                <c:pt idx="1">
                  <c:v>1.7737000000000001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1-4795-9A71-6CCE47706A4E}"/>
            </c:ext>
          </c:extLst>
        </c:ser>
        <c:ser>
          <c:idx val="2"/>
          <c:order val="2"/>
          <c:tx>
            <c:strRef>
              <c:f>'Gait Velocities and Costs'!$AG$4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Costs'!$AD$4:$AE$4</c:f>
              <c:numCache>
                <c:formatCode>General</c:formatCode>
                <c:ptCount val="2"/>
                <c:pt idx="0">
                  <c:v>1.2652966666666667</c:v>
                </c:pt>
                <c:pt idx="1">
                  <c:v>1.3744966666666665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1-4795-9A71-6CCE47706A4E}"/>
            </c:ext>
          </c:extLst>
        </c:ser>
        <c:ser>
          <c:idx val="3"/>
          <c:order val="3"/>
          <c:tx>
            <c:strRef>
              <c:f>'Gait Velocities and Costs'!$AG$5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Costs'!$AD$5:$AE$5</c:f>
              <c:numCache>
                <c:formatCode>General</c:formatCode>
                <c:ptCount val="2"/>
                <c:pt idx="0">
                  <c:v>1.5529400000000002</c:v>
                </c:pt>
                <c:pt idx="1">
                  <c:v>1.5162800000000001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B1-4795-9A71-6CCE47706A4E}"/>
            </c:ext>
          </c:extLst>
        </c:ser>
        <c:ser>
          <c:idx val="4"/>
          <c:order val="4"/>
          <c:tx>
            <c:strRef>
              <c:f>'Gait Velocities and Costs'!$AG$6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Costs'!$AD$6:$AE$6</c:f>
              <c:numCache>
                <c:formatCode>General</c:formatCode>
                <c:ptCount val="2"/>
                <c:pt idx="0">
                  <c:v>1.7915399999999999</c:v>
                </c:pt>
                <c:pt idx="1">
                  <c:v>1.9037066666666667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B1-4795-9A71-6CCE47706A4E}"/>
            </c:ext>
          </c:extLst>
        </c:ser>
        <c:ser>
          <c:idx val="5"/>
          <c:order val="5"/>
          <c:tx>
            <c:strRef>
              <c:f>'Gait Velocities and Costs'!$AG$7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Costs'!$AD$7:$AE$7</c:f>
              <c:numCache>
                <c:formatCode>General</c:formatCode>
                <c:ptCount val="2"/>
                <c:pt idx="0">
                  <c:v>1.3800800000000002</c:v>
                </c:pt>
                <c:pt idx="1">
                  <c:v>1.4794900000000002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B1-4795-9A71-6CCE47706A4E}"/>
            </c:ext>
          </c:extLst>
        </c:ser>
        <c:ser>
          <c:idx val="6"/>
          <c:order val="6"/>
          <c:tx>
            <c:strRef>
              <c:f>'Gait Velocities and Costs'!$AG$8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Costs'!$AD$8:$AE$8</c:f>
              <c:numCache>
                <c:formatCode>General</c:formatCode>
                <c:ptCount val="2"/>
                <c:pt idx="0">
                  <c:v>1.8135866666666667</c:v>
                </c:pt>
                <c:pt idx="1">
                  <c:v>1.8125933333333333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B1-4795-9A71-6CCE47706A4E}"/>
            </c:ext>
          </c:extLst>
        </c:ser>
        <c:ser>
          <c:idx val="7"/>
          <c:order val="7"/>
          <c:tx>
            <c:strRef>
              <c:f>'Gait Velocities and Costs'!$AG$9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Costs'!$AD$9:$AE$9</c:f>
              <c:numCache>
                <c:formatCode>General</c:formatCode>
                <c:ptCount val="2"/>
                <c:pt idx="0">
                  <c:v>1.4583600000000001</c:v>
                </c:pt>
                <c:pt idx="1">
                  <c:v>1.39994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B1-4795-9A71-6CCE47706A4E}"/>
            </c:ext>
          </c:extLst>
        </c:ser>
        <c:ser>
          <c:idx val="8"/>
          <c:order val="8"/>
          <c:tx>
            <c:strRef>
              <c:f>'Gait Velocities and Costs'!$AG$10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Costs'!$AD$10:$AE$10</c:f>
              <c:numCache>
                <c:formatCode>General</c:formatCode>
                <c:ptCount val="2"/>
                <c:pt idx="0">
                  <c:v>1.4604200000000001</c:v>
                </c:pt>
                <c:pt idx="1">
                  <c:v>1.6208633333333333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B1-4795-9A71-6CCE47706A4E}"/>
            </c:ext>
          </c:extLst>
        </c:ser>
        <c:ser>
          <c:idx val="9"/>
          <c:order val="9"/>
          <c:tx>
            <c:strRef>
              <c:f>'Gait Velocities and Costs'!$AG$11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Costs'!$AD$11:$AE$11</c:f>
              <c:numCache>
                <c:formatCode>General</c:formatCode>
                <c:ptCount val="2"/>
                <c:pt idx="0">
                  <c:v>1.3673766666666665</c:v>
                </c:pt>
                <c:pt idx="1">
                  <c:v>1.4052866666666668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B1-4795-9A71-6CCE47706A4E}"/>
            </c:ext>
          </c:extLst>
        </c:ser>
        <c:ser>
          <c:idx val="10"/>
          <c:order val="10"/>
          <c:tx>
            <c:strRef>
              <c:f>'Gait Velocities and Costs'!$AG$12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Costs'!$AD$12:$AE$12</c:f>
              <c:numCache>
                <c:formatCode>General</c:formatCode>
                <c:ptCount val="2"/>
                <c:pt idx="0">
                  <c:v>1.6235833333333332</c:v>
                </c:pt>
                <c:pt idx="1">
                  <c:v>1.6435900000000001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B1-4795-9A71-6CCE47706A4E}"/>
            </c:ext>
          </c:extLst>
        </c:ser>
        <c:ser>
          <c:idx val="11"/>
          <c:order val="11"/>
          <c:tx>
            <c:strRef>
              <c:f>'Gait Velocities and Costs'!$AG$13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Costs'!$AD$13:$AE$13</c:f>
              <c:numCache>
                <c:formatCode>General</c:formatCode>
                <c:ptCount val="2"/>
                <c:pt idx="0">
                  <c:v>1.8177499999999998</c:v>
                </c:pt>
                <c:pt idx="1">
                  <c:v>1.7936633333333329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B1-4795-9A71-6CCE47706A4E}"/>
            </c:ext>
          </c:extLst>
        </c:ser>
        <c:ser>
          <c:idx val="12"/>
          <c:order val="12"/>
          <c:tx>
            <c:strRef>
              <c:f>'Gait Velocities and Costs'!$AG$14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Costs'!$AD$14:$AE$14</c:f>
              <c:numCache>
                <c:formatCode>General</c:formatCode>
                <c:ptCount val="2"/>
                <c:pt idx="0">
                  <c:v>1.55596</c:v>
                </c:pt>
                <c:pt idx="1">
                  <c:v>1.5348766666666664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DB1-4795-9A71-6CCE47706A4E}"/>
            </c:ext>
          </c:extLst>
        </c:ser>
        <c:ser>
          <c:idx val="13"/>
          <c:order val="13"/>
          <c:tx>
            <c:strRef>
              <c:f>'Gait Velocities and Costs'!$AG$15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Costs'!$AD$1:$AE$1</c:f>
              <c:strCache>
                <c:ptCount val="2"/>
                <c:pt idx="0">
                  <c:v>DT_AvStrLength_Pre</c:v>
                </c:pt>
                <c:pt idx="1">
                  <c:v>DT_AvStrLength_Post</c:v>
                </c:pt>
              </c:strCache>
            </c:strRef>
          </c:cat>
          <c:val>
            <c:numRef>
              <c:f>'Gait Velocities and Costs'!$AD$15:$AE$15</c:f>
              <c:numCache>
                <c:formatCode>General</c:formatCode>
                <c:ptCount val="2"/>
                <c:pt idx="0">
                  <c:v>1.5156666666666663</c:v>
                </c:pt>
                <c:pt idx="1">
                  <c:v>1.5088666666666666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DB1-4795-9A71-6CCE47706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574640"/>
        <c:axId val="472575032"/>
      </c:lineChart>
      <c:catAx>
        <c:axId val="47257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575032"/>
        <c:crosses val="autoZero"/>
        <c:auto val="1"/>
        <c:lblAlgn val="ctr"/>
        <c:lblOffset val="100"/>
        <c:noMultiLvlLbl val="0"/>
      </c:catAx>
      <c:valAx>
        <c:axId val="472575032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57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Self-selected Gait, Average Cadence (steps/min)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Costs'!$AG$2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Costs'!$AH$2:$AI$2</c:f>
              <c:numCache>
                <c:formatCode>0.00</c:formatCode>
                <c:ptCount val="2"/>
                <c:pt idx="0">
                  <c:v>125.375</c:v>
                </c:pt>
                <c:pt idx="1">
                  <c:v>124.15066666666667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0-484A-A271-284597CE5721}"/>
            </c:ext>
          </c:extLst>
        </c:ser>
        <c:ser>
          <c:idx val="1"/>
          <c:order val="1"/>
          <c:tx>
            <c:strRef>
              <c:f>'Gait Velocities and Costs'!$AG$3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Costs'!$AH$3:$AI$3</c:f>
              <c:numCache>
                <c:formatCode>General</c:formatCode>
                <c:ptCount val="2"/>
                <c:pt idx="0" formatCode="0.00">
                  <c:v>114.21166666666666</c:v>
                </c:pt>
                <c:pt idx="1">
                  <c:v>110.16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0-484A-A271-284597CE5721}"/>
            </c:ext>
          </c:extLst>
        </c:ser>
        <c:ser>
          <c:idx val="2"/>
          <c:order val="2"/>
          <c:tx>
            <c:strRef>
              <c:f>'Gait Velocities and Costs'!$AG$4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Costs'!$AH$4:$AI$4</c:f>
              <c:numCache>
                <c:formatCode>0.00</c:formatCode>
                <c:ptCount val="2"/>
                <c:pt idx="0">
                  <c:v>134.35166666666669</c:v>
                </c:pt>
                <c:pt idx="1">
                  <c:v>123.57299999999999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0-484A-A271-284597CE5721}"/>
            </c:ext>
          </c:extLst>
        </c:ser>
        <c:ser>
          <c:idx val="3"/>
          <c:order val="3"/>
          <c:tx>
            <c:strRef>
              <c:f>'Gait Velocities and Costs'!$AG$5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Costs'!$AH$5:$AI$5</c:f>
              <c:numCache>
                <c:formatCode>0.00</c:formatCode>
                <c:ptCount val="2"/>
                <c:pt idx="0">
                  <c:v>127.17900000000002</c:v>
                </c:pt>
                <c:pt idx="1">
                  <c:v>130.23533333333333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90-484A-A271-284597CE5721}"/>
            </c:ext>
          </c:extLst>
        </c:ser>
        <c:ser>
          <c:idx val="4"/>
          <c:order val="4"/>
          <c:tx>
            <c:strRef>
              <c:f>'Gait Velocities and Costs'!$AG$6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Costs'!$AH$6:$AI$6</c:f>
              <c:numCache>
                <c:formatCode>0.00</c:formatCode>
                <c:ptCount val="2"/>
                <c:pt idx="0">
                  <c:v>116.03000000000002</c:v>
                </c:pt>
                <c:pt idx="1">
                  <c:v>111.504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90-484A-A271-284597CE5721}"/>
            </c:ext>
          </c:extLst>
        </c:ser>
        <c:ser>
          <c:idx val="5"/>
          <c:order val="5"/>
          <c:tx>
            <c:strRef>
              <c:f>'Gait Velocities and Costs'!$AG$7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Costs'!$AH$7:$AI$7</c:f>
              <c:numCache>
                <c:formatCode>0.00</c:formatCode>
                <c:ptCount val="2"/>
                <c:pt idx="0">
                  <c:v>121.91233333333334</c:v>
                </c:pt>
                <c:pt idx="1">
                  <c:v>115.11433333333332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90-484A-A271-284597CE5721}"/>
            </c:ext>
          </c:extLst>
        </c:ser>
        <c:ser>
          <c:idx val="6"/>
          <c:order val="6"/>
          <c:tx>
            <c:strRef>
              <c:f>'Gait Velocities and Costs'!$AG$8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Costs'!$AH$8:$AI$8</c:f>
              <c:numCache>
                <c:formatCode>0.00</c:formatCode>
                <c:ptCount val="2"/>
                <c:pt idx="0">
                  <c:v>114.58333333333333</c:v>
                </c:pt>
                <c:pt idx="1">
                  <c:v>126.74233333333332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90-484A-A271-284597CE5721}"/>
            </c:ext>
          </c:extLst>
        </c:ser>
        <c:ser>
          <c:idx val="7"/>
          <c:order val="7"/>
          <c:tx>
            <c:strRef>
              <c:f>'Gait Velocities and Costs'!$AG$9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Costs'!$AH$9:$AI$9</c:f>
              <c:numCache>
                <c:formatCode>General</c:formatCode>
                <c:ptCount val="2"/>
                <c:pt idx="0">
                  <c:v>134.39700000000002</c:v>
                </c:pt>
                <c:pt idx="1">
                  <c:v>135.91900000000001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90-484A-A271-284597CE5721}"/>
            </c:ext>
          </c:extLst>
        </c:ser>
        <c:ser>
          <c:idx val="8"/>
          <c:order val="8"/>
          <c:tx>
            <c:strRef>
              <c:f>'Gait Velocities and Costs'!$AG$10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Costs'!$AH$10:$AI$10</c:f>
              <c:numCache>
                <c:formatCode>General</c:formatCode>
                <c:ptCount val="2"/>
                <c:pt idx="0">
                  <c:v>133.714</c:v>
                </c:pt>
                <c:pt idx="1">
                  <c:v>126.87400000000001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A90-484A-A271-284597CE5721}"/>
            </c:ext>
          </c:extLst>
        </c:ser>
        <c:ser>
          <c:idx val="9"/>
          <c:order val="9"/>
          <c:tx>
            <c:strRef>
              <c:f>'Gait Velocities and Costs'!$AG$11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Costs'!$AH$11:$AI$11</c:f>
              <c:numCache>
                <c:formatCode>General</c:formatCode>
                <c:ptCount val="2"/>
                <c:pt idx="0">
                  <c:v>124.79033333333332</c:v>
                </c:pt>
                <c:pt idx="1">
                  <c:v>116.83333333333333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A90-484A-A271-284597CE5721}"/>
            </c:ext>
          </c:extLst>
        </c:ser>
        <c:ser>
          <c:idx val="10"/>
          <c:order val="10"/>
          <c:tx>
            <c:strRef>
              <c:f>'Gait Velocities and Costs'!$AG$12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Costs'!$AH$12:$AI$12</c:f>
              <c:numCache>
                <c:formatCode>General</c:formatCode>
                <c:ptCount val="2"/>
                <c:pt idx="0">
                  <c:v>110.14933333333333</c:v>
                </c:pt>
                <c:pt idx="1">
                  <c:v>111.41933333333333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90-484A-A271-284597CE5721}"/>
            </c:ext>
          </c:extLst>
        </c:ser>
        <c:ser>
          <c:idx val="11"/>
          <c:order val="11"/>
          <c:tx>
            <c:strRef>
              <c:f>'Gait Velocities and Costs'!$AG$13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Costs'!$AH$13:$AI$13</c:f>
              <c:numCache>
                <c:formatCode>General</c:formatCode>
                <c:ptCount val="2"/>
                <c:pt idx="0">
                  <c:v>97.506666666666661</c:v>
                </c:pt>
                <c:pt idx="1">
                  <c:v>97.189333333333323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90-484A-A271-284597CE5721}"/>
            </c:ext>
          </c:extLst>
        </c:ser>
        <c:ser>
          <c:idx val="12"/>
          <c:order val="12"/>
          <c:tx>
            <c:strRef>
              <c:f>'Gait Velocities and Costs'!$AG$14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Costs'!$AH$14:$AI$14</c:f>
              <c:numCache>
                <c:formatCode>General</c:formatCode>
                <c:ptCount val="2"/>
                <c:pt idx="0">
                  <c:v>118.26933333333334</c:v>
                </c:pt>
                <c:pt idx="1">
                  <c:v>118.89166666666667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A90-484A-A271-284597CE5721}"/>
            </c:ext>
          </c:extLst>
        </c:ser>
        <c:ser>
          <c:idx val="13"/>
          <c:order val="13"/>
          <c:tx>
            <c:strRef>
              <c:f>'Gait Velocities and Costs'!$AG$15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Costs'!$AH$1:$AI$1</c:f>
              <c:strCache>
                <c:ptCount val="2"/>
                <c:pt idx="0">
                  <c:v>SS_AvCade_Pre</c:v>
                </c:pt>
                <c:pt idx="1">
                  <c:v>SS_AvCade_Post</c:v>
                </c:pt>
              </c:strCache>
            </c:strRef>
          </c:cat>
          <c:val>
            <c:numRef>
              <c:f>'Gait Velocities and Costs'!$AH$15:$AI$15</c:f>
              <c:numCache>
                <c:formatCode>General</c:formatCode>
                <c:ptCount val="2"/>
                <c:pt idx="0">
                  <c:v>110.557</c:v>
                </c:pt>
                <c:pt idx="1">
                  <c:v>112.60366666666665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A90-484A-A271-284597CE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05728"/>
        <c:axId val="531306120"/>
      </c:lineChart>
      <c:catAx>
        <c:axId val="5313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306120"/>
        <c:crosses val="autoZero"/>
        <c:auto val="1"/>
        <c:lblAlgn val="ctr"/>
        <c:lblOffset val="100"/>
        <c:noMultiLvlLbl val="0"/>
      </c:catAx>
      <c:valAx>
        <c:axId val="531306120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30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</a:t>
            </a:r>
            <a:r>
              <a:rPr lang="en-US" baseline="0"/>
              <a:t> Gait, Average Cadence (steps/min)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Costs'!$AO$2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Costs'!$AL$2:$AM$2</c:f>
              <c:numCache>
                <c:formatCode>0.00</c:formatCode>
                <c:ptCount val="2"/>
                <c:pt idx="0">
                  <c:v>143.23066666666665</c:v>
                </c:pt>
                <c:pt idx="1">
                  <c:v>160.08000000000001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2-4DD4-8572-B1BA1621DAB8}"/>
            </c:ext>
          </c:extLst>
        </c:ser>
        <c:ser>
          <c:idx val="1"/>
          <c:order val="1"/>
          <c:tx>
            <c:strRef>
              <c:f>'Gait Velocities and Costs'!$AO$3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Costs'!$AL$3:$AM$3</c:f>
              <c:numCache>
                <c:formatCode>0.00</c:formatCode>
                <c:ptCount val="2"/>
                <c:pt idx="0">
                  <c:v>133.49600000000001</c:v>
                </c:pt>
                <c:pt idx="1">
                  <c:v>136.03700000000001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2-4DD4-8572-B1BA1621DAB8}"/>
            </c:ext>
          </c:extLst>
        </c:ser>
        <c:ser>
          <c:idx val="2"/>
          <c:order val="2"/>
          <c:tx>
            <c:strRef>
              <c:f>'Gait Velocities and Costs'!$AO$4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Costs'!$AL$4:$AM$4</c:f>
              <c:numCache>
                <c:formatCode>0.00</c:formatCode>
                <c:ptCount val="2"/>
                <c:pt idx="0">
                  <c:v>165.88900000000001</c:v>
                </c:pt>
                <c:pt idx="1">
                  <c:v>191.60299999999998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2-4DD4-8572-B1BA1621DAB8}"/>
            </c:ext>
          </c:extLst>
        </c:ser>
        <c:ser>
          <c:idx val="3"/>
          <c:order val="3"/>
          <c:tx>
            <c:strRef>
              <c:f>'Gait Velocities and Costs'!$AO$5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Costs'!$AL$5:$AM$5</c:f>
              <c:numCache>
                <c:formatCode>0.00</c:formatCode>
                <c:ptCount val="2"/>
                <c:pt idx="0">
                  <c:v>156.304</c:v>
                </c:pt>
                <c:pt idx="1">
                  <c:v>149.13333333333333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E2-4DD4-8572-B1BA1621DAB8}"/>
            </c:ext>
          </c:extLst>
        </c:ser>
        <c:ser>
          <c:idx val="4"/>
          <c:order val="4"/>
          <c:tx>
            <c:strRef>
              <c:f>'Gait Velocities and Costs'!$AO$6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Costs'!$AL$6:$AM$6</c:f>
              <c:numCache>
                <c:formatCode>0.00</c:formatCode>
                <c:ptCount val="2"/>
                <c:pt idx="0">
                  <c:v>131.46600000000001</c:v>
                </c:pt>
                <c:pt idx="1">
                  <c:v>153.34966666666665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E2-4DD4-8572-B1BA1621DAB8}"/>
            </c:ext>
          </c:extLst>
        </c:ser>
        <c:ser>
          <c:idx val="5"/>
          <c:order val="5"/>
          <c:tx>
            <c:strRef>
              <c:f>'Gait Velocities and Costs'!$AO$7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Costs'!$AL$7:$AM$7</c:f>
              <c:numCache>
                <c:formatCode>0.00</c:formatCode>
                <c:ptCount val="2"/>
                <c:pt idx="0">
                  <c:v>144.65333333333334</c:v>
                </c:pt>
                <c:pt idx="1">
                  <c:v>143.68566666666666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E2-4DD4-8572-B1BA1621DAB8}"/>
            </c:ext>
          </c:extLst>
        </c:ser>
        <c:ser>
          <c:idx val="6"/>
          <c:order val="6"/>
          <c:tx>
            <c:strRef>
              <c:f>'Gait Velocities and Costs'!$AO$8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Costs'!$AL$8:$AM$8</c:f>
              <c:numCache>
                <c:formatCode>0.00</c:formatCode>
                <c:ptCount val="2"/>
                <c:pt idx="0">
                  <c:v>130.65866666666668</c:v>
                </c:pt>
                <c:pt idx="1">
                  <c:v>142.61233333333334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E2-4DD4-8572-B1BA1621DAB8}"/>
            </c:ext>
          </c:extLst>
        </c:ser>
        <c:ser>
          <c:idx val="7"/>
          <c:order val="7"/>
          <c:tx>
            <c:strRef>
              <c:f>'Gait Velocities and Costs'!$AO$9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Costs'!$AL$9:$AM$9</c:f>
              <c:numCache>
                <c:formatCode>General</c:formatCode>
                <c:ptCount val="2"/>
                <c:pt idx="0">
                  <c:v>194.24966666666668</c:v>
                </c:pt>
                <c:pt idx="1">
                  <c:v>147.95833333333334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E2-4DD4-8572-B1BA1621DAB8}"/>
            </c:ext>
          </c:extLst>
        </c:ser>
        <c:ser>
          <c:idx val="8"/>
          <c:order val="8"/>
          <c:tx>
            <c:strRef>
              <c:f>'Gait Velocities and Costs'!$AO$10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Costs'!$AL$10:$AM$10</c:f>
              <c:numCache>
                <c:formatCode>General</c:formatCode>
                <c:ptCount val="2"/>
                <c:pt idx="0">
                  <c:v>163.78266666666664</c:v>
                </c:pt>
                <c:pt idx="1">
                  <c:v>166.28700000000001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E2-4DD4-8572-B1BA1621DAB8}"/>
            </c:ext>
          </c:extLst>
        </c:ser>
        <c:ser>
          <c:idx val="9"/>
          <c:order val="9"/>
          <c:tx>
            <c:strRef>
              <c:f>'Gait Velocities and Costs'!$AO$11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Costs'!$AL$11:$AM$11</c:f>
              <c:numCache>
                <c:formatCode>General</c:formatCode>
                <c:ptCount val="2"/>
                <c:pt idx="0">
                  <c:v>161.084</c:v>
                </c:pt>
                <c:pt idx="1">
                  <c:v>172.65200000000002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3E2-4DD4-8572-B1BA1621DAB8}"/>
            </c:ext>
          </c:extLst>
        </c:ser>
        <c:ser>
          <c:idx val="10"/>
          <c:order val="10"/>
          <c:tx>
            <c:strRef>
              <c:f>'Gait Velocities and Costs'!$AO$12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Costs'!$AL$12:$AM$12</c:f>
              <c:numCache>
                <c:formatCode>General</c:formatCode>
                <c:ptCount val="2"/>
                <c:pt idx="0">
                  <c:v>141.38899999999998</c:v>
                </c:pt>
                <c:pt idx="1">
                  <c:v>138.98099999999999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3E2-4DD4-8572-B1BA1621DAB8}"/>
            </c:ext>
          </c:extLst>
        </c:ser>
        <c:ser>
          <c:idx val="11"/>
          <c:order val="11"/>
          <c:tx>
            <c:strRef>
              <c:f>'Gait Velocities and Costs'!$AO$13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Costs'!$AL$13:$AM$13</c:f>
              <c:numCache>
                <c:formatCode>General</c:formatCode>
                <c:ptCount val="2"/>
                <c:pt idx="0">
                  <c:v>134.92633333333333</c:v>
                </c:pt>
                <c:pt idx="1">
                  <c:v>174.22733333333335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3E2-4DD4-8572-B1BA1621DAB8}"/>
            </c:ext>
          </c:extLst>
        </c:ser>
        <c:ser>
          <c:idx val="12"/>
          <c:order val="12"/>
          <c:tx>
            <c:strRef>
              <c:f>'Gait Velocities and Costs'!$AO$14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Costs'!$AL$14:$AM$14</c:f>
              <c:numCache>
                <c:formatCode>General</c:formatCode>
                <c:ptCount val="2"/>
                <c:pt idx="0">
                  <c:v>147.90900000000002</c:v>
                </c:pt>
                <c:pt idx="1">
                  <c:v>152.49566666666666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3E2-4DD4-8572-B1BA1621DAB8}"/>
            </c:ext>
          </c:extLst>
        </c:ser>
        <c:ser>
          <c:idx val="13"/>
          <c:order val="13"/>
          <c:tx>
            <c:strRef>
              <c:f>'Gait Velocities and Costs'!$AO$15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Costs'!$AL$1:$AM$1</c:f>
              <c:strCache>
                <c:ptCount val="2"/>
                <c:pt idx="0">
                  <c:v>FG_AvCade_Pre</c:v>
                </c:pt>
                <c:pt idx="1">
                  <c:v>FG_AvCade_Post</c:v>
                </c:pt>
              </c:strCache>
            </c:strRef>
          </c:cat>
          <c:val>
            <c:numRef>
              <c:f>'Gait Velocities and Costs'!$AL$15:$AM$15</c:f>
              <c:numCache>
                <c:formatCode>General</c:formatCode>
                <c:ptCount val="2"/>
                <c:pt idx="0">
                  <c:v>132.08566666666664</c:v>
                </c:pt>
                <c:pt idx="1">
                  <c:v>143.29633333333334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3E2-4DD4-8572-B1BA1621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06512"/>
        <c:axId val="531306904"/>
      </c:lineChart>
      <c:catAx>
        <c:axId val="53130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306904"/>
        <c:crosses val="autoZero"/>
        <c:auto val="1"/>
        <c:lblAlgn val="ctr"/>
        <c:lblOffset val="100"/>
        <c:noMultiLvlLbl val="0"/>
      </c:catAx>
      <c:valAx>
        <c:axId val="531306904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30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Dual Task Gait, Average Cadence (steps/min)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'Gait Velocities and Costs'!$AO$2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Costs'!$AP$2:$AQ$2</c:f>
              <c:numCache>
                <c:formatCode>0.00</c:formatCode>
                <c:ptCount val="2"/>
                <c:pt idx="0">
                  <c:v>133.57633333333334</c:v>
                </c:pt>
                <c:pt idx="1">
                  <c:v>135.99233333333333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6-4A28-A793-AFF0A24079C3}"/>
            </c:ext>
          </c:extLst>
        </c:ser>
        <c:ser>
          <c:idx val="1"/>
          <c:order val="1"/>
          <c:tx>
            <c:strRef>
              <c:f>'Gait Velocities and Costs'!$AO$3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Costs'!$AP$3:$AQ$3</c:f>
              <c:numCache>
                <c:formatCode>General</c:formatCode>
                <c:ptCount val="2"/>
                <c:pt idx="0" formatCode="0.00">
                  <c:v>119.904</c:v>
                </c:pt>
                <c:pt idx="1">
                  <c:v>125.36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6-4A28-A793-AFF0A24079C3}"/>
            </c:ext>
          </c:extLst>
        </c:ser>
        <c:ser>
          <c:idx val="2"/>
          <c:order val="2"/>
          <c:tx>
            <c:strRef>
              <c:f>'Gait Velocities and Costs'!$AO$4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Costs'!$AP$4:$AQ$4</c:f>
              <c:numCache>
                <c:formatCode>0.00</c:formatCode>
                <c:ptCount val="2"/>
                <c:pt idx="0">
                  <c:v>126.82</c:v>
                </c:pt>
                <c:pt idx="1">
                  <c:v>164.23966666666669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6-4A28-A793-AFF0A24079C3}"/>
            </c:ext>
          </c:extLst>
        </c:ser>
        <c:ser>
          <c:idx val="3"/>
          <c:order val="3"/>
          <c:tx>
            <c:strRef>
              <c:f>'Gait Velocities and Costs'!$AO$5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Costs'!$AP$5:$AQ$5</c:f>
              <c:numCache>
                <c:formatCode>0.00</c:formatCode>
                <c:ptCount val="2"/>
                <c:pt idx="0">
                  <c:v>142.10166666666669</c:v>
                </c:pt>
                <c:pt idx="1">
                  <c:v>146.49966666666668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86-4A28-A793-AFF0A24079C3}"/>
            </c:ext>
          </c:extLst>
        </c:ser>
        <c:ser>
          <c:idx val="4"/>
          <c:order val="4"/>
          <c:tx>
            <c:strRef>
              <c:f>'Gait Velocities and Costs'!$AO$6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Costs'!$AP$6:$AQ$6</c:f>
              <c:numCache>
                <c:formatCode>0.00</c:formatCode>
                <c:ptCount val="2"/>
                <c:pt idx="0">
                  <c:v>122.59633333333333</c:v>
                </c:pt>
                <c:pt idx="1">
                  <c:v>151.81533333333334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86-4A28-A793-AFF0A24079C3}"/>
            </c:ext>
          </c:extLst>
        </c:ser>
        <c:ser>
          <c:idx val="5"/>
          <c:order val="5"/>
          <c:tx>
            <c:strRef>
              <c:f>'Gait Velocities and Costs'!$AO$7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Costs'!$AP$7:$AQ$7</c:f>
              <c:numCache>
                <c:formatCode>0.00</c:formatCode>
                <c:ptCount val="2"/>
                <c:pt idx="0">
                  <c:v>132.071</c:v>
                </c:pt>
                <c:pt idx="1">
                  <c:v>138.14066666666668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86-4A28-A793-AFF0A24079C3}"/>
            </c:ext>
          </c:extLst>
        </c:ser>
        <c:ser>
          <c:idx val="6"/>
          <c:order val="6"/>
          <c:tx>
            <c:strRef>
              <c:f>'Gait Velocities and Costs'!$AO$8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Costs'!$AP$8:$AQ$8</c:f>
              <c:numCache>
                <c:formatCode>0.00</c:formatCode>
                <c:ptCount val="2"/>
                <c:pt idx="0">
                  <c:v>118.15866666666666</c:v>
                </c:pt>
                <c:pt idx="1">
                  <c:v>113.73666666666668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86-4A28-A793-AFF0A24079C3}"/>
            </c:ext>
          </c:extLst>
        </c:ser>
        <c:ser>
          <c:idx val="7"/>
          <c:order val="7"/>
          <c:tx>
            <c:strRef>
              <c:f>'Gait Velocities and Costs'!$AO$9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Costs'!$AP$9:$AQ$9</c:f>
              <c:numCache>
                <c:formatCode>0.00</c:formatCode>
                <c:ptCount val="2"/>
                <c:pt idx="0" formatCode="General">
                  <c:v>142.55433333333335</c:v>
                </c:pt>
                <c:pt idx="1">
                  <c:v>170.10566666666668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86-4A28-A793-AFF0A24079C3}"/>
            </c:ext>
          </c:extLst>
        </c:ser>
        <c:ser>
          <c:idx val="8"/>
          <c:order val="8"/>
          <c:tx>
            <c:strRef>
              <c:f>'Gait Velocities and Costs'!$AO$10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Costs'!$AP$10:$AQ$10</c:f>
              <c:numCache>
                <c:formatCode>General</c:formatCode>
                <c:ptCount val="2"/>
                <c:pt idx="0">
                  <c:v>163.78266666666664</c:v>
                </c:pt>
                <c:pt idx="1">
                  <c:v>155.44966666666667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86-4A28-A793-AFF0A24079C3}"/>
            </c:ext>
          </c:extLst>
        </c:ser>
        <c:ser>
          <c:idx val="9"/>
          <c:order val="9"/>
          <c:tx>
            <c:strRef>
              <c:f>'Gait Velocities and Costs'!$AO$11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Costs'!$AP$11:$AQ$11</c:f>
              <c:numCache>
                <c:formatCode>General</c:formatCode>
                <c:ptCount val="2"/>
                <c:pt idx="0">
                  <c:v>161.084</c:v>
                </c:pt>
                <c:pt idx="1">
                  <c:v>157.39199999999997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86-4A28-A793-AFF0A24079C3}"/>
            </c:ext>
          </c:extLst>
        </c:ser>
        <c:ser>
          <c:idx val="10"/>
          <c:order val="10"/>
          <c:tx>
            <c:strRef>
              <c:f>'Gait Velocities and Costs'!$AO$12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Costs'!$AP$12:$AQ$12</c:f>
              <c:numCache>
                <c:formatCode>General</c:formatCode>
                <c:ptCount val="2"/>
                <c:pt idx="0">
                  <c:v>143.3176666666667</c:v>
                </c:pt>
                <c:pt idx="1">
                  <c:v>135.97633333333332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86-4A28-A793-AFF0A24079C3}"/>
            </c:ext>
          </c:extLst>
        </c:ser>
        <c:ser>
          <c:idx val="11"/>
          <c:order val="11"/>
          <c:tx>
            <c:strRef>
              <c:f>'Gait Velocities and Costs'!$AO$13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Costs'!$AP$13:$AQ$13</c:f>
              <c:numCache>
                <c:formatCode>General</c:formatCode>
                <c:ptCount val="2"/>
                <c:pt idx="0">
                  <c:v>137.03833333333333</c:v>
                </c:pt>
                <c:pt idx="1">
                  <c:v>153.90199999999999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A86-4A28-A793-AFF0A24079C3}"/>
            </c:ext>
          </c:extLst>
        </c:ser>
        <c:ser>
          <c:idx val="12"/>
          <c:order val="12"/>
          <c:tx>
            <c:strRef>
              <c:f>'Gait Velocities and Costs'!$AO$14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Costs'!$AP$14:$AQ$14</c:f>
              <c:numCache>
                <c:formatCode>General</c:formatCode>
                <c:ptCount val="2"/>
                <c:pt idx="0">
                  <c:v>137.87433333333334</c:v>
                </c:pt>
                <c:pt idx="1">
                  <c:v>141.54666666666665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A86-4A28-A793-AFF0A24079C3}"/>
            </c:ext>
          </c:extLst>
        </c:ser>
        <c:ser>
          <c:idx val="13"/>
          <c:order val="13"/>
          <c:tx>
            <c:strRef>
              <c:f>'Gait Velocities and Costs'!$AO$15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'Gait Velocities and Costs'!$AP$1:$AQ$1</c:f>
              <c:strCache>
                <c:ptCount val="2"/>
                <c:pt idx="0">
                  <c:v>DT_AvCade_Pre</c:v>
                </c:pt>
                <c:pt idx="1">
                  <c:v>DT_AvCade_Post</c:v>
                </c:pt>
              </c:strCache>
            </c:strRef>
          </c:cat>
          <c:val>
            <c:numRef>
              <c:f>'Gait Velocities and Costs'!$AP$15:$AQ$15</c:f>
              <c:numCache>
                <c:formatCode>General</c:formatCode>
                <c:ptCount val="2"/>
                <c:pt idx="0">
                  <c:v>127.20233333333333</c:v>
                </c:pt>
                <c:pt idx="1">
                  <c:v>129.15733333333333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A86-4A28-A793-AFF0A2407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07688"/>
        <c:axId val="531308080"/>
      </c:lineChart>
      <c:catAx>
        <c:axId val="53130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308080"/>
        <c:crosses val="autoZero"/>
        <c:auto val="1"/>
        <c:lblAlgn val="ctr"/>
        <c:lblOffset val="100"/>
        <c:noMultiLvlLbl val="0"/>
      </c:catAx>
      <c:valAx>
        <c:axId val="53130808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307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Max. Quadriceps</a:t>
            </a:r>
            <a:r>
              <a:rPr lang="en-US" baseline="0"/>
              <a:t> Strength (kg)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'Lower Body Strength'!$A$2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Strength'!$S$2:$T$2</c:f>
              <c:numCache>
                <c:formatCode>General</c:formatCode>
                <c:ptCount val="2"/>
                <c:pt idx="0">
                  <c:v>38.200000000000003</c:v>
                </c:pt>
                <c:pt idx="1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A-4F98-934D-BBFD62677AD0}"/>
            </c:ext>
          </c:extLst>
        </c:ser>
        <c:ser>
          <c:idx val="1"/>
          <c:order val="1"/>
          <c:tx>
            <c:strRef>
              <c:f>'Lower Body Strength'!$A$3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Strength'!$S$3:$T$3</c:f>
              <c:numCache>
                <c:formatCode>General</c:formatCode>
                <c:ptCount val="2"/>
                <c:pt idx="0">
                  <c:v>54</c:v>
                </c:pt>
                <c:pt idx="1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A-4F98-934D-BBFD62677AD0}"/>
            </c:ext>
          </c:extLst>
        </c:ser>
        <c:ser>
          <c:idx val="2"/>
          <c:order val="2"/>
          <c:tx>
            <c:strRef>
              <c:f>'Lower Body Strength'!$A$4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Strength'!$S$4:$T$4</c:f>
              <c:numCache>
                <c:formatCode>General</c:formatCode>
                <c:ptCount val="2"/>
                <c:pt idx="0">
                  <c:v>45.6</c:v>
                </c:pt>
                <c:pt idx="1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0A-4F98-934D-BBFD62677AD0}"/>
            </c:ext>
          </c:extLst>
        </c:ser>
        <c:ser>
          <c:idx val="3"/>
          <c:order val="3"/>
          <c:tx>
            <c:strRef>
              <c:f>'Lower Body Strength'!$A$5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Strength'!$S$5:$T$5</c:f>
              <c:numCache>
                <c:formatCode>General</c:formatCode>
                <c:ptCount val="2"/>
                <c:pt idx="0">
                  <c:v>47.3</c:v>
                </c:pt>
                <c:pt idx="1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0A-4F98-934D-BBFD62677AD0}"/>
            </c:ext>
          </c:extLst>
        </c:ser>
        <c:ser>
          <c:idx val="4"/>
          <c:order val="4"/>
          <c:tx>
            <c:strRef>
              <c:f>'Lower Body Strength'!$A$6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Strength'!$S$6:$T$6</c:f>
              <c:numCache>
                <c:formatCode>General</c:formatCode>
                <c:ptCount val="2"/>
                <c:pt idx="0">
                  <c:v>63.8</c:v>
                </c:pt>
                <c:pt idx="1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0A-4F98-934D-BBFD62677AD0}"/>
            </c:ext>
          </c:extLst>
        </c:ser>
        <c:ser>
          <c:idx val="5"/>
          <c:order val="5"/>
          <c:tx>
            <c:strRef>
              <c:f>'Lower Body Strength'!$A$7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Strength'!$S$7:$T$7</c:f>
              <c:numCache>
                <c:formatCode>General</c:formatCode>
                <c:ptCount val="2"/>
                <c:pt idx="0">
                  <c:v>47.7</c:v>
                </c:pt>
                <c:pt idx="1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0A-4F98-934D-BBFD62677AD0}"/>
            </c:ext>
          </c:extLst>
        </c:ser>
        <c:ser>
          <c:idx val="6"/>
          <c:order val="6"/>
          <c:tx>
            <c:strRef>
              <c:f>'Lower Body Strength'!$A$8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Strength'!$S$8:$T$8</c:f>
              <c:numCache>
                <c:formatCode>General</c:formatCode>
                <c:ptCount val="2"/>
                <c:pt idx="0">
                  <c:v>48.3</c:v>
                </c:pt>
                <c:pt idx="1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0A-4F98-934D-BBFD62677AD0}"/>
            </c:ext>
          </c:extLst>
        </c:ser>
        <c:ser>
          <c:idx val="7"/>
          <c:order val="7"/>
          <c:tx>
            <c:strRef>
              <c:f>'Lower Body Strength'!$A$9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Strength'!$S$9:$T$9</c:f>
              <c:numCache>
                <c:formatCode>General</c:formatCode>
                <c:ptCount val="2"/>
                <c:pt idx="0">
                  <c:v>39.1</c:v>
                </c:pt>
                <c:pt idx="1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0A-4F98-934D-BBFD62677AD0}"/>
            </c:ext>
          </c:extLst>
        </c:ser>
        <c:ser>
          <c:idx val="8"/>
          <c:order val="8"/>
          <c:tx>
            <c:strRef>
              <c:f>'Lower Body Strength'!$A$10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Strength'!$S$10:$T$10</c:f>
              <c:numCache>
                <c:formatCode>General</c:formatCode>
                <c:ptCount val="2"/>
                <c:pt idx="0">
                  <c:v>31.8</c:v>
                </c:pt>
                <c:pt idx="1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0A-4F98-934D-BBFD62677AD0}"/>
            </c:ext>
          </c:extLst>
        </c:ser>
        <c:ser>
          <c:idx val="9"/>
          <c:order val="9"/>
          <c:tx>
            <c:strRef>
              <c:f>'Lower Body Strength'!$A$11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Strength'!$S$11:$T$11</c:f>
              <c:numCache>
                <c:formatCode>General</c:formatCode>
                <c:ptCount val="2"/>
                <c:pt idx="0">
                  <c:v>49.9</c:v>
                </c:pt>
                <c:pt idx="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0A-4F98-934D-BBFD62677AD0}"/>
            </c:ext>
          </c:extLst>
        </c:ser>
        <c:ser>
          <c:idx val="10"/>
          <c:order val="10"/>
          <c:tx>
            <c:strRef>
              <c:f>'Lower Body Strength'!$A$12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Strength'!$S$12:$T$12</c:f>
              <c:numCache>
                <c:formatCode>General</c:formatCode>
                <c:ptCount val="2"/>
                <c:pt idx="0">
                  <c:v>42.7</c:v>
                </c:pt>
                <c:pt idx="1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0A-4F98-934D-BBFD62677AD0}"/>
            </c:ext>
          </c:extLst>
        </c:ser>
        <c:ser>
          <c:idx val="11"/>
          <c:order val="11"/>
          <c:tx>
            <c:strRef>
              <c:f>'Lower Body Strength'!$A$13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Strength'!$S$13:$T$13</c:f>
              <c:numCache>
                <c:formatCode>General</c:formatCode>
                <c:ptCount val="2"/>
                <c:pt idx="0">
                  <c:v>41.5</c:v>
                </c:pt>
                <c:pt idx="1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0A-4F98-934D-BBFD62677AD0}"/>
            </c:ext>
          </c:extLst>
        </c:ser>
        <c:ser>
          <c:idx val="12"/>
          <c:order val="12"/>
          <c:tx>
            <c:strRef>
              <c:f>'Lower Body Strength'!$A$14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Strength'!$S$14:$T$14</c:f>
              <c:numCache>
                <c:formatCode>General</c:formatCode>
                <c:ptCount val="2"/>
                <c:pt idx="0">
                  <c:v>37.200000000000003</c:v>
                </c:pt>
                <c:pt idx="1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0A-4F98-934D-BBFD62677AD0}"/>
            </c:ext>
          </c:extLst>
        </c:ser>
        <c:ser>
          <c:idx val="13"/>
          <c:order val="13"/>
          <c:tx>
            <c:strRef>
              <c:f>'Lower Body Strength'!$A$15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'Lower Body Strength'!$S$1:$T$1</c:f>
              <c:strCache>
                <c:ptCount val="2"/>
                <c:pt idx="0">
                  <c:v>QuadMaxPre</c:v>
                </c:pt>
                <c:pt idx="1">
                  <c:v>QuadMaxPost</c:v>
                </c:pt>
              </c:strCache>
            </c:strRef>
          </c:cat>
          <c:val>
            <c:numRef>
              <c:f>'Lower Body Strength'!$S$15:$T$15</c:f>
              <c:numCache>
                <c:formatCode>General</c:formatCode>
                <c:ptCount val="2"/>
                <c:pt idx="0">
                  <c:v>43.6</c:v>
                </c:pt>
                <c:pt idx="1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0A-4F98-934D-BBFD6267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331376"/>
        <c:axId val="244812656"/>
      </c:lineChart>
      <c:catAx>
        <c:axId val="48533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12656"/>
        <c:crosses val="autoZero"/>
        <c:auto val="1"/>
        <c:lblAlgn val="ctr"/>
        <c:lblOffset val="100"/>
        <c:noMultiLvlLbl val="0"/>
      </c:catAx>
      <c:valAx>
        <c:axId val="24481265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3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L and R Movement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[2]Sheet1!$M$2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[2]Sheet1!$N$2:$O$2</c:f>
              <c:numCache>
                <c:formatCode>General</c:formatCode>
                <c:ptCount val="2"/>
                <c:pt idx="0">
                  <c:v>1.2074666666666662</c:v>
                </c:pt>
                <c:pt idx="1">
                  <c:v>1.2033966480446927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9-4879-A7C9-C14102389456}"/>
            </c:ext>
          </c:extLst>
        </c:ser>
        <c:ser>
          <c:idx val="1"/>
          <c:order val="1"/>
          <c:tx>
            <c:strRef>
              <c:f>[2]Sheet1!$M$3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[2]Sheet1!$N$3:$O$3</c:f>
              <c:numCache>
                <c:formatCode>General</c:formatCode>
                <c:ptCount val="2"/>
                <c:pt idx="0">
                  <c:v>1.5781333333333332</c:v>
                </c:pt>
                <c:pt idx="1">
                  <c:v>1.953608938547486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9-4879-A7C9-C14102389456}"/>
            </c:ext>
          </c:extLst>
        </c:ser>
        <c:ser>
          <c:idx val="2"/>
          <c:order val="2"/>
          <c:tx>
            <c:strRef>
              <c:f>[2]Sheet1!$M$4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[2]Sheet1!$N$4:$O$4</c:f>
              <c:numCache>
                <c:formatCode>General</c:formatCode>
                <c:ptCount val="2"/>
                <c:pt idx="0">
                  <c:v>1.6890666666666667</c:v>
                </c:pt>
                <c:pt idx="1">
                  <c:v>1.4383815028901734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9-4879-A7C9-C14102389456}"/>
            </c:ext>
          </c:extLst>
        </c:ser>
        <c:ser>
          <c:idx val="3"/>
          <c:order val="3"/>
          <c:tx>
            <c:strRef>
              <c:f>[2]Sheet1!$M$5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[2]Sheet1!$N$5:$O$5</c:f>
              <c:numCache>
                <c:formatCode>General</c:formatCode>
                <c:ptCount val="2"/>
                <c:pt idx="0">
                  <c:v>1.5198666666666667</c:v>
                </c:pt>
                <c:pt idx="1">
                  <c:v>1.2274682080924855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59-4879-A7C9-C14102389456}"/>
            </c:ext>
          </c:extLst>
        </c:ser>
        <c:ser>
          <c:idx val="4"/>
          <c:order val="4"/>
          <c:tx>
            <c:strRef>
              <c:f>[2]Sheet1!$M$6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[2]Sheet1!$N$6:$O$6</c:f>
              <c:numCache>
                <c:formatCode>General</c:formatCode>
                <c:ptCount val="2"/>
                <c:pt idx="0">
                  <c:v>1.3081333333333331</c:v>
                </c:pt>
                <c:pt idx="1">
                  <c:v>1.4806473988439306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59-4879-A7C9-C14102389456}"/>
            </c:ext>
          </c:extLst>
        </c:ser>
        <c:ser>
          <c:idx val="5"/>
          <c:order val="5"/>
          <c:tx>
            <c:strRef>
              <c:f>[2]Sheet1!$M$7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[2]Sheet1!$N$7:$O$7</c:f>
              <c:numCache>
                <c:formatCode>General</c:formatCode>
                <c:ptCount val="2"/>
                <c:pt idx="0">
                  <c:v>1.4337333333333333</c:v>
                </c:pt>
                <c:pt idx="1">
                  <c:v>1.2131791907514451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59-4879-A7C9-C14102389456}"/>
            </c:ext>
          </c:extLst>
        </c:ser>
        <c:ser>
          <c:idx val="6"/>
          <c:order val="6"/>
          <c:tx>
            <c:strRef>
              <c:f>[2]Sheet1!$M$8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[2]Sheet1!$N$8:$O$8</c:f>
              <c:numCache>
                <c:formatCode>General</c:formatCode>
                <c:ptCount val="2"/>
                <c:pt idx="0">
                  <c:v>1.1798843930635838</c:v>
                </c:pt>
                <c:pt idx="1">
                  <c:v>1.1726666666666667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59-4879-A7C9-C14102389456}"/>
            </c:ext>
          </c:extLst>
        </c:ser>
        <c:ser>
          <c:idx val="7"/>
          <c:order val="7"/>
          <c:tx>
            <c:strRef>
              <c:f>[2]Sheet1!$M$9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[2]Sheet1!$N$9:$O$9</c:f>
              <c:numCache>
                <c:formatCode>General</c:formatCode>
                <c:ptCount val="2"/>
                <c:pt idx="0">
                  <c:v>1.4838381502890172</c:v>
                </c:pt>
                <c:pt idx="1">
                  <c:v>1.1909333333333332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59-4879-A7C9-C14102389456}"/>
            </c:ext>
          </c:extLst>
        </c:ser>
        <c:ser>
          <c:idx val="8"/>
          <c:order val="8"/>
          <c:tx>
            <c:strRef>
              <c:f>[2]Sheet1!$M$10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[2]Sheet1!$N$10:$O$10</c:f>
              <c:numCache>
                <c:formatCode>General</c:formatCode>
                <c:ptCount val="2"/>
                <c:pt idx="0">
                  <c:v>1.6270982658959539</c:v>
                </c:pt>
                <c:pt idx="1">
                  <c:v>1.6771999999999998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59-4879-A7C9-C14102389456}"/>
            </c:ext>
          </c:extLst>
        </c:ser>
        <c:ser>
          <c:idx val="9"/>
          <c:order val="9"/>
          <c:tx>
            <c:strRef>
              <c:f>[2]Sheet1!$M$11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[2]Sheet1!$N$11:$O$11</c:f>
              <c:numCache>
                <c:formatCode>General</c:formatCode>
                <c:ptCount val="2"/>
                <c:pt idx="0">
                  <c:v>1.9047398843930634</c:v>
                </c:pt>
                <c:pt idx="1">
                  <c:v>2.1084000000000005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59-4879-A7C9-C14102389456}"/>
            </c:ext>
          </c:extLst>
        </c:ser>
        <c:ser>
          <c:idx val="10"/>
          <c:order val="10"/>
          <c:tx>
            <c:strRef>
              <c:f>[2]Sheet1!$M$12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[2]Sheet1!$N$12:$O$12</c:f>
              <c:numCache>
                <c:formatCode>General</c:formatCode>
                <c:ptCount val="2"/>
                <c:pt idx="0">
                  <c:v>1.6905433526011562</c:v>
                </c:pt>
                <c:pt idx="1">
                  <c:v>1.5364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59-4879-A7C9-C14102389456}"/>
            </c:ext>
          </c:extLst>
        </c:ser>
        <c:ser>
          <c:idx val="11"/>
          <c:order val="11"/>
          <c:tx>
            <c:strRef>
              <c:f>[2]Sheet1!$M$13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[2]Sheet1!$N$13:$O$13</c:f>
              <c:numCache>
                <c:formatCode>General</c:formatCode>
                <c:ptCount val="2"/>
                <c:pt idx="0">
                  <c:v>1.8705202312138731</c:v>
                </c:pt>
                <c:pt idx="1">
                  <c:v>1.6070666666666664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E59-4879-A7C9-C14102389456}"/>
            </c:ext>
          </c:extLst>
        </c:ser>
        <c:ser>
          <c:idx val="12"/>
          <c:order val="12"/>
          <c:tx>
            <c:strRef>
              <c:f>[2]Sheet1!$M$14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[2]Sheet1!$N$1:$O$1</c:f>
              <c:strCache>
                <c:ptCount val="2"/>
                <c:pt idx="0">
                  <c:v>Combo Movement Pre</c:v>
                </c:pt>
                <c:pt idx="1">
                  <c:v>Combo Movement Post</c:v>
                </c:pt>
              </c:strCache>
            </c:strRef>
          </c:cat>
          <c:val>
            <c:numRef>
              <c:f>[2]Sheet1!$N$14:$O$14</c:f>
              <c:numCache>
                <c:formatCode>General</c:formatCode>
                <c:ptCount val="2"/>
                <c:pt idx="0">
                  <c:v>2.2246473988439304</c:v>
                </c:pt>
                <c:pt idx="1">
                  <c:v>1.932666666666667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E59-4879-A7C9-C1410238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08864"/>
        <c:axId val="243156864"/>
      </c:lineChart>
      <c:catAx>
        <c:axId val="53130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156864"/>
        <c:crosses val="autoZero"/>
        <c:auto val="1"/>
        <c:lblAlgn val="ctr"/>
        <c:lblOffset val="100"/>
        <c:noMultiLvlLbl val="0"/>
      </c:catAx>
      <c:valAx>
        <c:axId val="24315686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30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Tandem Stance Antero-Posterior Excursion (m)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'Balance TS'!$AC$2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TS'!$V$2:$W$2</c:f>
              <c:numCache>
                <c:formatCode>General</c:formatCode>
                <c:ptCount val="2"/>
                <c:pt idx="0">
                  <c:v>0.34055666666666701</c:v>
                </c:pt>
                <c:pt idx="1">
                  <c:v>0.43122666666666598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5-4784-AB3F-C4F358EB4743}"/>
            </c:ext>
          </c:extLst>
        </c:ser>
        <c:ser>
          <c:idx val="1"/>
          <c:order val="1"/>
          <c:tx>
            <c:strRef>
              <c:f>'Balance TS'!$AC$3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TS'!$V$3:$W$3</c:f>
              <c:numCache>
                <c:formatCode>General</c:formatCode>
                <c:ptCount val="2"/>
                <c:pt idx="0">
                  <c:v>0.66720999999999997</c:v>
                </c:pt>
                <c:pt idx="1">
                  <c:v>0.47527999999999954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5-4784-AB3F-C4F358EB4743}"/>
            </c:ext>
          </c:extLst>
        </c:ser>
        <c:ser>
          <c:idx val="2"/>
          <c:order val="2"/>
          <c:tx>
            <c:strRef>
              <c:f>'Balance TS'!$AC$4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TS'!$V$4:$W$4</c:f>
              <c:numCache>
                <c:formatCode>General</c:formatCode>
                <c:ptCount val="2"/>
                <c:pt idx="0">
                  <c:v>0.4562566666666672</c:v>
                </c:pt>
                <c:pt idx="1">
                  <c:v>0.47519666666666621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5-4784-AB3F-C4F358EB4743}"/>
            </c:ext>
          </c:extLst>
        </c:ser>
        <c:ser>
          <c:idx val="3"/>
          <c:order val="3"/>
          <c:tx>
            <c:strRef>
              <c:f>'Balance TS'!$AC$5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TS'!$V$5:$W$5</c:f>
              <c:numCache>
                <c:formatCode>General</c:formatCode>
                <c:ptCount val="2"/>
                <c:pt idx="0">
                  <c:v>0.63702499999999895</c:v>
                </c:pt>
                <c:pt idx="1">
                  <c:v>0.56569333333333305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5-4784-AB3F-C4F358EB4743}"/>
            </c:ext>
          </c:extLst>
        </c:ser>
        <c:ser>
          <c:idx val="4"/>
          <c:order val="4"/>
          <c:tx>
            <c:strRef>
              <c:f>'Balance TS'!$AC$6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TS'!$V$6:$W$6</c:f>
              <c:numCache>
                <c:formatCode>General</c:formatCode>
                <c:ptCount val="2"/>
                <c:pt idx="0">
                  <c:v>0.61091500000000043</c:v>
                </c:pt>
                <c:pt idx="1">
                  <c:v>0.48623000000000133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5-4784-AB3F-C4F358EB4743}"/>
            </c:ext>
          </c:extLst>
        </c:ser>
        <c:ser>
          <c:idx val="5"/>
          <c:order val="5"/>
          <c:tx>
            <c:strRef>
              <c:f>'Balance TS'!$AC$7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TS'!$V$7:$W$7</c:f>
              <c:numCache>
                <c:formatCode>General</c:formatCode>
                <c:ptCount val="2"/>
                <c:pt idx="0">
                  <c:v>0.78448500000000077</c:v>
                </c:pt>
                <c:pt idx="1">
                  <c:v>0.51157999999999881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95-4784-AB3F-C4F358EB4743}"/>
            </c:ext>
          </c:extLst>
        </c:ser>
        <c:ser>
          <c:idx val="6"/>
          <c:order val="6"/>
          <c:tx>
            <c:strRef>
              <c:f>'Balance TS'!$AC$8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TS'!$V$8:$W$8</c:f>
              <c:numCache>
                <c:formatCode>General</c:formatCode>
                <c:ptCount val="2"/>
                <c:pt idx="0">
                  <c:v>0.47264666666666688</c:v>
                </c:pt>
                <c:pt idx="1">
                  <c:v>0.5605133333333332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5-4784-AB3F-C4F358EB4743}"/>
            </c:ext>
          </c:extLst>
        </c:ser>
        <c:ser>
          <c:idx val="7"/>
          <c:order val="7"/>
          <c:tx>
            <c:strRef>
              <c:f>'Balance TS'!$AC$9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TS'!$V$9:$W$9</c:f>
              <c:numCache>
                <c:formatCode>General</c:formatCode>
                <c:ptCount val="2"/>
                <c:pt idx="0">
                  <c:v>0.68971666666666775</c:v>
                </c:pt>
                <c:pt idx="1">
                  <c:v>0.58365333333333247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95-4784-AB3F-C4F358EB4743}"/>
            </c:ext>
          </c:extLst>
        </c:ser>
        <c:ser>
          <c:idx val="8"/>
          <c:order val="8"/>
          <c:tx>
            <c:strRef>
              <c:f>'Balance TS'!$AC$10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TS'!$V$10:$W$10</c:f>
              <c:numCache>
                <c:formatCode>General</c:formatCode>
                <c:ptCount val="2"/>
                <c:pt idx="0">
                  <c:v>0.47092000000000045</c:v>
                </c:pt>
                <c:pt idx="1">
                  <c:v>0.44087666666666797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95-4784-AB3F-C4F358EB4743}"/>
            </c:ext>
          </c:extLst>
        </c:ser>
        <c:ser>
          <c:idx val="9"/>
          <c:order val="9"/>
          <c:tx>
            <c:strRef>
              <c:f>'Balance TS'!$AC$11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TS'!$V$11:$W$11</c:f>
              <c:numCache>
                <c:formatCode>General</c:formatCode>
                <c:ptCount val="2"/>
                <c:pt idx="0">
                  <c:v>1.861900000000001</c:v>
                </c:pt>
                <c:pt idx="1">
                  <c:v>1.5396899999999998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95-4784-AB3F-C4F358EB4743}"/>
            </c:ext>
          </c:extLst>
        </c:ser>
        <c:ser>
          <c:idx val="10"/>
          <c:order val="10"/>
          <c:tx>
            <c:strRef>
              <c:f>'Balance TS'!$AC$12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TS'!$V$12:$W$12</c:f>
              <c:numCache>
                <c:formatCode>General</c:formatCode>
                <c:ptCount val="2"/>
                <c:pt idx="0">
                  <c:v>0.53864333333333347</c:v>
                </c:pt>
                <c:pt idx="1">
                  <c:v>0.54369666666666527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95-4784-AB3F-C4F358EB4743}"/>
            </c:ext>
          </c:extLst>
        </c:ser>
        <c:ser>
          <c:idx val="11"/>
          <c:order val="11"/>
          <c:tx>
            <c:strRef>
              <c:f>'Balance TS'!$AC$13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TS'!$V$13:$W$13</c:f>
              <c:numCache>
                <c:formatCode>General</c:formatCode>
                <c:ptCount val="2"/>
                <c:pt idx="0">
                  <c:v>0.45429999999999859</c:v>
                </c:pt>
                <c:pt idx="1">
                  <c:v>0.34810666666666651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95-4784-AB3F-C4F358EB4743}"/>
            </c:ext>
          </c:extLst>
        </c:ser>
        <c:ser>
          <c:idx val="12"/>
          <c:order val="12"/>
          <c:tx>
            <c:strRef>
              <c:f>'Balance TS'!$AC$14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TS'!$V$14:$W$14</c:f>
              <c:numCache>
                <c:formatCode>General</c:formatCode>
                <c:ptCount val="2"/>
                <c:pt idx="0">
                  <c:v>0.45698333333333357</c:v>
                </c:pt>
                <c:pt idx="1">
                  <c:v>0.3007700000000002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95-4784-AB3F-C4F358EB4743}"/>
            </c:ext>
          </c:extLst>
        </c:ser>
        <c:ser>
          <c:idx val="13"/>
          <c:order val="13"/>
          <c:tx>
            <c:strRef>
              <c:f>'Balance TS'!$AC$15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TS'!$V$1:$W$1</c:f>
              <c:strCache>
                <c:ptCount val="2"/>
                <c:pt idx="0">
                  <c:v>TS_AP_Excursion_Pre</c:v>
                </c:pt>
                <c:pt idx="1">
                  <c:v>TS_AP_Excursion_Post</c:v>
                </c:pt>
              </c:strCache>
            </c:strRef>
          </c:cat>
          <c:val>
            <c:numRef>
              <c:f>'Balance TS'!$V$15:$W$15</c:f>
              <c:numCache>
                <c:formatCode>General</c:formatCode>
                <c:ptCount val="2"/>
                <c:pt idx="0">
                  <c:v>0.48605666666666675</c:v>
                </c:pt>
                <c:pt idx="1">
                  <c:v>0.51419999999999966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95-4784-AB3F-C4F358EB4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57648"/>
        <c:axId val="243158040"/>
      </c:lineChart>
      <c:catAx>
        <c:axId val="24315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158040"/>
        <c:crosses val="autoZero"/>
        <c:auto val="1"/>
        <c:lblAlgn val="ctr"/>
        <c:lblOffset val="100"/>
        <c:noMultiLvlLbl val="0"/>
      </c:catAx>
      <c:valAx>
        <c:axId val="24315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15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Tandem Stance Antero=Posterior Velocity (m/s)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'Balance TS'!$AC$2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TS'!$Z$2:$AA$2</c:f>
              <c:numCache>
                <c:formatCode>General</c:formatCode>
                <c:ptCount val="2"/>
                <c:pt idx="0">
                  <c:v>1.702783333333335E-2</c:v>
                </c:pt>
                <c:pt idx="1">
                  <c:v>2.1561333333333297E-2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0-46BC-A6FB-F9EF5AB201FA}"/>
            </c:ext>
          </c:extLst>
        </c:ser>
        <c:ser>
          <c:idx val="1"/>
          <c:order val="1"/>
          <c:tx>
            <c:strRef>
              <c:f>'Balance TS'!$AC$3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TS'!$Z$3:$AA$3</c:f>
              <c:numCache>
                <c:formatCode>General</c:formatCode>
                <c:ptCount val="2"/>
                <c:pt idx="0">
                  <c:v>3.3360500000000001E-2</c:v>
                </c:pt>
                <c:pt idx="1">
                  <c:v>2.376399999999998E-2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0-46BC-A6FB-F9EF5AB201FA}"/>
            </c:ext>
          </c:extLst>
        </c:ser>
        <c:ser>
          <c:idx val="2"/>
          <c:order val="2"/>
          <c:tx>
            <c:strRef>
              <c:f>'Balance TS'!$AC$4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TS'!$Z$4:$AA$4</c:f>
              <c:numCache>
                <c:formatCode>General</c:formatCode>
                <c:ptCount val="2"/>
                <c:pt idx="0">
                  <c:v>2.2812833333333355E-2</c:v>
                </c:pt>
                <c:pt idx="1">
                  <c:v>2.375983333333331E-2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0-46BC-A6FB-F9EF5AB201FA}"/>
            </c:ext>
          </c:extLst>
        </c:ser>
        <c:ser>
          <c:idx val="3"/>
          <c:order val="3"/>
          <c:tx>
            <c:strRef>
              <c:f>'Balance TS'!$AC$5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TS'!$Z$5:$AA$5</c:f>
              <c:numCache>
                <c:formatCode>General</c:formatCode>
                <c:ptCount val="2"/>
                <c:pt idx="0">
                  <c:v>3.1851249999999949E-2</c:v>
                </c:pt>
                <c:pt idx="1">
                  <c:v>2.8284666666666652E-2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0-46BC-A6FB-F9EF5AB201FA}"/>
            </c:ext>
          </c:extLst>
        </c:ser>
        <c:ser>
          <c:idx val="4"/>
          <c:order val="4"/>
          <c:tx>
            <c:strRef>
              <c:f>'Balance TS'!$AC$6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TS'!$Z$6:$AA$6</c:f>
              <c:numCache>
                <c:formatCode>General</c:formatCode>
                <c:ptCount val="2"/>
                <c:pt idx="0">
                  <c:v>3.0545750000000021E-2</c:v>
                </c:pt>
                <c:pt idx="1">
                  <c:v>2.4311500000000066E-2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0-46BC-A6FB-F9EF5AB201FA}"/>
            </c:ext>
          </c:extLst>
        </c:ser>
        <c:ser>
          <c:idx val="5"/>
          <c:order val="5"/>
          <c:tx>
            <c:strRef>
              <c:f>'Balance TS'!$AC$7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TS'!$Z$7:$AA$7</c:f>
              <c:numCache>
                <c:formatCode>General</c:formatCode>
                <c:ptCount val="2"/>
                <c:pt idx="0">
                  <c:v>3.9224250000000037E-2</c:v>
                </c:pt>
                <c:pt idx="1">
                  <c:v>2.5578999999999942E-2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B0-46BC-A6FB-F9EF5AB201FA}"/>
            </c:ext>
          </c:extLst>
        </c:ser>
        <c:ser>
          <c:idx val="6"/>
          <c:order val="6"/>
          <c:tx>
            <c:strRef>
              <c:f>'Balance TS'!$AC$8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TS'!$Z$8:$AA$8</c:f>
              <c:numCache>
                <c:formatCode>General</c:formatCode>
                <c:ptCount val="2"/>
                <c:pt idx="0">
                  <c:v>2.3632333333333349E-2</c:v>
                </c:pt>
                <c:pt idx="1">
                  <c:v>2.8025666666666661E-2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B0-46BC-A6FB-F9EF5AB201FA}"/>
            </c:ext>
          </c:extLst>
        </c:ser>
        <c:ser>
          <c:idx val="7"/>
          <c:order val="7"/>
          <c:tx>
            <c:strRef>
              <c:f>'Balance TS'!$AC$9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TS'!$Z$9:$AA$9</c:f>
              <c:numCache>
                <c:formatCode>General</c:formatCode>
                <c:ptCount val="2"/>
                <c:pt idx="0">
                  <c:v>3.4485833333333382E-2</c:v>
                </c:pt>
                <c:pt idx="1">
                  <c:v>2.9182666666666624E-2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B0-46BC-A6FB-F9EF5AB201FA}"/>
            </c:ext>
          </c:extLst>
        </c:ser>
        <c:ser>
          <c:idx val="8"/>
          <c:order val="8"/>
          <c:tx>
            <c:strRef>
              <c:f>'Balance TS'!$AC$10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TS'!$Z$10:$AA$10</c:f>
              <c:numCache>
                <c:formatCode>General</c:formatCode>
                <c:ptCount val="2"/>
                <c:pt idx="0">
                  <c:v>2.3546000000000025E-2</c:v>
                </c:pt>
                <c:pt idx="1">
                  <c:v>2.2043833333333401E-2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B0-46BC-A6FB-F9EF5AB201FA}"/>
            </c:ext>
          </c:extLst>
        </c:ser>
        <c:ser>
          <c:idx val="9"/>
          <c:order val="9"/>
          <c:tx>
            <c:strRef>
              <c:f>'Balance TS'!$AC$11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TS'!$Z$11:$AA$11</c:f>
              <c:numCache>
                <c:formatCode>General</c:formatCode>
                <c:ptCount val="2"/>
                <c:pt idx="0">
                  <c:v>9.3095000000000053E-2</c:v>
                </c:pt>
                <c:pt idx="1">
                  <c:v>7.6984499999999983E-2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B0-46BC-A6FB-F9EF5AB201FA}"/>
            </c:ext>
          </c:extLst>
        </c:ser>
        <c:ser>
          <c:idx val="10"/>
          <c:order val="10"/>
          <c:tx>
            <c:strRef>
              <c:f>'Balance TS'!$AC$12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TS'!$Z$12:$AA$12</c:f>
              <c:numCache>
                <c:formatCode>General</c:formatCode>
                <c:ptCount val="2"/>
                <c:pt idx="0">
                  <c:v>2.6932166666666674E-2</c:v>
                </c:pt>
                <c:pt idx="1">
                  <c:v>2.7184833333333266E-2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B0-46BC-A6FB-F9EF5AB201FA}"/>
            </c:ext>
          </c:extLst>
        </c:ser>
        <c:ser>
          <c:idx val="11"/>
          <c:order val="11"/>
          <c:tx>
            <c:strRef>
              <c:f>'Balance TS'!$AC$13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TS'!$Z$13:$AA$13</c:f>
              <c:numCache>
                <c:formatCode>General</c:formatCode>
                <c:ptCount val="2"/>
                <c:pt idx="0">
                  <c:v>2.271499999999993E-2</c:v>
                </c:pt>
                <c:pt idx="1">
                  <c:v>1.7405333333333325E-2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3B0-46BC-A6FB-F9EF5AB201FA}"/>
            </c:ext>
          </c:extLst>
        </c:ser>
        <c:ser>
          <c:idx val="12"/>
          <c:order val="12"/>
          <c:tx>
            <c:strRef>
              <c:f>'Balance TS'!$AC$14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TS'!$Z$14:$AA$14</c:f>
              <c:numCache>
                <c:formatCode>General</c:formatCode>
                <c:ptCount val="2"/>
                <c:pt idx="0">
                  <c:v>2.2849166666666681E-2</c:v>
                </c:pt>
                <c:pt idx="1">
                  <c:v>1.503850000000001E-2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3B0-46BC-A6FB-F9EF5AB201FA}"/>
            </c:ext>
          </c:extLst>
        </c:ser>
        <c:ser>
          <c:idx val="13"/>
          <c:order val="13"/>
          <c:tx>
            <c:strRef>
              <c:f>'Balance TS'!$AC$15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TS'!$Z$1:$AA$1</c:f>
              <c:strCache>
                <c:ptCount val="2"/>
                <c:pt idx="0">
                  <c:v>TS_AP_Vel_Pre</c:v>
                </c:pt>
                <c:pt idx="1">
                  <c:v>TS_AP_Vel_Post</c:v>
                </c:pt>
              </c:strCache>
            </c:strRef>
          </c:cat>
          <c:val>
            <c:numRef>
              <c:f>'Balance TS'!$Z$15:$AA$15</c:f>
              <c:numCache>
                <c:formatCode>General</c:formatCode>
                <c:ptCount val="2"/>
                <c:pt idx="0">
                  <c:v>2.4302833333333333E-2</c:v>
                </c:pt>
                <c:pt idx="1">
                  <c:v>2.5709999999999983E-2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3B0-46BC-A6FB-F9EF5AB20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58824"/>
        <c:axId val="243159216"/>
      </c:lineChart>
      <c:catAx>
        <c:axId val="24315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159216"/>
        <c:crosses val="autoZero"/>
        <c:auto val="1"/>
        <c:lblAlgn val="ctr"/>
        <c:lblOffset val="100"/>
        <c:noMultiLvlLbl val="0"/>
      </c:catAx>
      <c:valAx>
        <c:axId val="24315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15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Tandem Stance Antero-Posterior Range (m)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'Balance TS'!$AC$2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TS'!$AD$2:$AE$2</c:f>
              <c:numCache>
                <c:formatCode>General</c:formatCode>
                <c:ptCount val="2"/>
                <c:pt idx="0">
                  <c:v>3.0603333333333243E-2</c:v>
                </c:pt>
                <c:pt idx="1">
                  <c:v>3.2863333333333244E-2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2-4E36-8B43-5A088A8449A6}"/>
            </c:ext>
          </c:extLst>
        </c:ser>
        <c:ser>
          <c:idx val="1"/>
          <c:order val="1"/>
          <c:tx>
            <c:strRef>
              <c:f>'Balance TS'!$AC$3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TS'!$AD$3:$AE$3</c:f>
              <c:numCache>
                <c:formatCode>General</c:formatCode>
                <c:ptCount val="2"/>
                <c:pt idx="0">
                  <c:v>3.7234999999999907E-2</c:v>
                </c:pt>
                <c:pt idx="1">
                  <c:v>2.4699999999999944E-2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2-4E36-8B43-5A088A8449A6}"/>
            </c:ext>
          </c:extLst>
        </c:ser>
        <c:ser>
          <c:idx val="2"/>
          <c:order val="2"/>
          <c:tx>
            <c:strRef>
              <c:f>'Balance TS'!$AC$4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TS'!$AD$4:$AE$4</c:f>
              <c:numCache>
                <c:formatCode>General</c:formatCode>
                <c:ptCount val="2"/>
                <c:pt idx="0">
                  <c:v>5.966666666666668E-2</c:v>
                </c:pt>
                <c:pt idx="1">
                  <c:v>4.4396666666666716E-2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2-4E36-8B43-5A088A8449A6}"/>
            </c:ext>
          </c:extLst>
        </c:ser>
        <c:ser>
          <c:idx val="3"/>
          <c:order val="3"/>
          <c:tx>
            <c:strRef>
              <c:f>'Balance TS'!$AC$5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TS'!$AD$5:$AE$5</c:f>
              <c:numCache>
                <c:formatCode>General</c:formatCode>
                <c:ptCount val="2"/>
                <c:pt idx="0">
                  <c:v>3.2025000000000081E-2</c:v>
                </c:pt>
                <c:pt idx="1">
                  <c:v>2.8086666666666742E-2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B2-4E36-8B43-5A088A8449A6}"/>
            </c:ext>
          </c:extLst>
        </c:ser>
        <c:ser>
          <c:idx val="4"/>
          <c:order val="4"/>
          <c:tx>
            <c:strRef>
              <c:f>'Balance TS'!$AC$6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TS'!$AD$6:$AE$6</c:f>
              <c:numCache>
                <c:formatCode>General</c:formatCode>
                <c:ptCount val="2"/>
                <c:pt idx="0">
                  <c:v>5.3709999999999924E-2</c:v>
                </c:pt>
                <c:pt idx="1">
                  <c:v>3.7743333333333316E-2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B2-4E36-8B43-5A088A8449A6}"/>
            </c:ext>
          </c:extLst>
        </c:ser>
        <c:ser>
          <c:idx val="5"/>
          <c:order val="5"/>
          <c:tx>
            <c:strRef>
              <c:f>'Balance TS'!$AC$7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TS'!$AD$7:$AE$7</c:f>
              <c:numCache>
                <c:formatCode>General</c:formatCode>
                <c:ptCount val="2"/>
                <c:pt idx="0">
                  <c:v>4.3930000000000025E-2</c:v>
                </c:pt>
                <c:pt idx="1">
                  <c:v>2.4584999999999968E-2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B2-4E36-8B43-5A088A8449A6}"/>
            </c:ext>
          </c:extLst>
        </c:ser>
        <c:ser>
          <c:idx val="6"/>
          <c:order val="6"/>
          <c:tx>
            <c:strRef>
              <c:f>'Balance TS'!$AC$8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TS'!$AD$8:$AE$8</c:f>
              <c:numCache>
                <c:formatCode>General</c:formatCode>
                <c:ptCount val="2"/>
                <c:pt idx="0">
                  <c:v>3.7209999999999965E-2</c:v>
                </c:pt>
                <c:pt idx="1">
                  <c:v>3.1416666666666648E-2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B2-4E36-8B43-5A088A8449A6}"/>
            </c:ext>
          </c:extLst>
        </c:ser>
        <c:ser>
          <c:idx val="7"/>
          <c:order val="7"/>
          <c:tx>
            <c:strRef>
              <c:f>'Balance TS'!$AC$9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TS'!$AD$9:$AE$9</c:f>
              <c:numCache>
                <c:formatCode>General</c:formatCode>
                <c:ptCount val="2"/>
                <c:pt idx="0">
                  <c:v>3.625666666666668E-2</c:v>
                </c:pt>
                <c:pt idx="1">
                  <c:v>3.413000000000007E-2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B2-4E36-8B43-5A088A8449A6}"/>
            </c:ext>
          </c:extLst>
        </c:ser>
        <c:ser>
          <c:idx val="8"/>
          <c:order val="8"/>
          <c:tx>
            <c:strRef>
              <c:f>'Balance TS'!$AC$10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TS'!$AD$10:$AE$10</c:f>
              <c:numCache>
                <c:formatCode>General</c:formatCode>
                <c:ptCount val="2"/>
                <c:pt idx="0">
                  <c:v>3.0496666666666616E-2</c:v>
                </c:pt>
                <c:pt idx="1">
                  <c:v>3.0216666666666708E-2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B2-4E36-8B43-5A088A8449A6}"/>
            </c:ext>
          </c:extLst>
        </c:ser>
        <c:ser>
          <c:idx val="9"/>
          <c:order val="9"/>
          <c:tx>
            <c:strRef>
              <c:f>'Balance TS'!$AC$11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TS'!$AD$11:$AE$11</c:f>
              <c:numCache>
                <c:formatCode>General</c:formatCode>
                <c:ptCount val="2"/>
                <c:pt idx="0">
                  <c:v>0.13022999999999985</c:v>
                </c:pt>
                <c:pt idx="1">
                  <c:v>5.7869999999999866E-2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B2-4E36-8B43-5A088A8449A6}"/>
            </c:ext>
          </c:extLst>
        </c:ser>
        <c:ser>
          <c:idx val="10"/>
          <c:order val="10"/>
          <c:tx>
            <c:strRef>
              <c:f>'Balance TS'!$AC$12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TS'!$AD$12:$AE$12</c:f>
              <c:numCache>
                <c:formatCode>General</c:formatCode>
                <c:ptCount val="2"/>
                <c:pt idx="0">
                  <c:v>2.846666666666664E-2</c:v>
                </c:pt>
                <c:pt idx="1">
                  <c:v>3.2293333333333209E-2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B2-4E36-8B43-5A088A8449A6}"/>
            </c:ext>
          </c:extLst>
        </c:ser>
        <c:ser>
          <c:idx val="11"/>
          <c:order val="11"/>
          <c:tx>
            <c:strRef>
              <c:f>'Balance TS'!$AC$13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TS'!$AD$13:$AE$13</c:f>
              <c:numCache>
                <c:formatCode>General</c:formatCode>
                <c:ptCount val="2"/>
                <c:pt idx="0">
                  <c:v>2.0190000000000003E-2</c:v>
                </c:pt>
                <c:pt idx="1">
                  <c:v>1.9019999999999964E-2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CB2-4E36-8B43-5A088A8449A6}"/>
            </c:ext>
          </c:extLst>
        </c:ser>
        <c:ser>
          <c:idx val="12"/>
          <c:order val="12"/>
          <c:tx>
            <c:strRef>
              <c:f>'Balance TS'!$AC$14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TS'!$AD$14:$AE$14</c:f>
              <c:numCache>
                <c:formatCode>General</c:formatCode>
                <c:ptCount val="2"/>
                <c:pt idx="0">
                  <c:v>3.4513333333333319E-2</c:v>
                </c:pt>
                <c:pt idx="1">
                  <c:v>2.5745000000000018E-2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CB2-4E36-8B43-5A088A8449A6}"/>
            </c:ext>
          </c:extLst>
        </c:ser>
        <c:ser>
          <c:idx val="13"/>
          <c:order val="13"/>
          <c:tx>
            <c:strRef>
              <c:f>'Balance TS'!$AC$15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'Balance TS'!$AD$1:$AE$1</c:f>
              <c:strCache>
                <c:ptCount val="2"/>
                <c:pt idx="0">
                  <c:v>TS_AP_Range_Pre</c:v>
                </c:pt>
                <c:pt idx="1">
                  <c:v>TS_AP_Range_Post</c:v>
                </c:pt>
              </c:strCache>
            </c:strRef>
          </c:cat>
          <c:val>
            <c:numRef>
              <c:f>'Balance TS'!$AD$15:$AE$15</c:f>
              <c:numCache>
                <c:formatCode>General</c:formatCode>
                <c:ptCount val="2"/>
                <c:pt idx="0">
                  <c:v>3.7233333333333306E-2</c:v>
                </c:pt>
                <c:pt idx="1">
                  <c:v>3.9196666666666692E-2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CB2-4E36-8B43-5A088A844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60000"/>
        <c:axId val="243160392"/>
      </c:lineChart>
      <c:catAx>
        <c:axId val="24316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160392"/>
        <c:crosses val="autoZero"/>
        <c:auto val="1"/>
        <c:lblAlgn val="ctr"/>
        <c:lblOffset val="100"/>
        <c:noMultiLvlLbl val="0"/>
      </c:catAx>
      <c:valAx>
        <c:axId val="243160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16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C-Reactive</a:t>
            </a:r>
            <a:r>
              <a:rPr lang="en-US" baseline="0"/>
              <a:t> Protein Levels Total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Bloodwork!$B$18:$C$18</c:f>
                <c:numCache>
                  <c:formatCode>General</c:formatCode>
                  <c:ptCount val="2"/>
                  <c:pt idx="0">
                    <c:v>2.2080743253300636</c:v>
                  </c:pt>
                  <c:pt idx="1">
                    <c:v>1.4984442127511028</c:v>
                  </c:pt>
                </c:numCache>
              </c:numRef>
            </c:plus>
            <c:minus>
              <c:numRef>
                <c:f>Bloodwork!$B$18:$C$18</c:f>
                <c:numCache>
                  <c:formatCode>General</c:formatCode>
                  <c:ptCount val="2"/>
                  <c:pt idx="0">
                    <c:v>2.2080743253300636</c:v>
                  </c:pt>
                  <c:pt idx="1">
                    <c:v>1.4984442127511028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Bloodwork!$I$24:$J$24</c:f>
              <c:strCache>
                <c:ptCount val="2"/>
                <c:pt idx="0">
                  <c:v>Pre</c:v>
                </c:pt>
                <c:pt idx="1">
                  <c:v>Post</c:v>
                </c:pt>
              </c:strCache>
            </c:strRef>
          </c:cat>
          <c:val>
            <c:numRef>
              <c:f>Bloodwork!$I$25:$J$25</c:f>
              <c:numCache>
                <c:formatCode>General</c:formatCode>
                <c:ptCount val="2"/>
                <c:pt idx="0">
                  <c:v>3.0149927272727282</c:v>
                </c:pt>
                <c:pt idx="1">
                  <c:v>1.5123545454545457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3-4ACA-A46C-33FDE370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081080"/>
        <c:axId val="532081472"/>
      </c:barChart>
      <c:catAx>
        <c:axId val="532081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081472"/>
        <c:crosses val="autoZero"/>
        <c:auto val="1"/>
        <c:lblAlgn val="ctr"/>
        <c:lblOffset val="100"/>
        <c:noMultiLvlLbl val="0"/>
      </c:catAx>
      <c:valAx>
        <c:axId val="53208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081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IFN-</a:t>
            </a:r>
            <a:r>
              <a:rPr lang="el-GR"/>
              <a:t>γ</a:t>
            </a:r>
            <a:r>
              <a:rPr lang="en-US" baseline="0"/>
              <a:t> &amp; TNF-</a:t>
            </a:r>
            <a:r>
              <a:rPr lang="el-GR" baseline="0"/>
              <a:t>α</a:t>
            </a:r>
            <a:r>
              <a:rPr lang="en-US" baseline="0"/>
              <a:t> Levels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Bloodwork!$Q$24:$T$24</c:f>
                <c:numCache>
                  <c:formatCode>General</c:formatCode>
                  <c:ptCount val="4"/>
                  <c:pt idx="0">
                    <c:v>7.0395358834617383</c:v>
                  </c:pt>
                  <c:pt idx="1">
                    <c:v>7.6737415314114568</c:v>
                  </c:pt>
                  <c:pt idx="2">
                    <c:v>8.6699521161866659</c:v>
                  </c:pt>
                  <c:pt idx="3">
                    <c:v>8.1494097202115672</c:v>
                  </c:pt>
                </c:numCache>
              </c:numRef>
            </c:plus>
            <c:minus>
              <c:numRef>
                <c:f>Bloodwork!$Q$24:$T$24</c:f>
                <c:numCache>
                  <c:formatCode>General</c:formatCode>
                  <c:ptCount val="4"/>
                  <c:pt idx="0">
                    <c:v>7.0395358834617383</c:v>
                  </c:pt>
                  <c:pt idx="1">
                    <c:v>7.6737415314114568</c:v>
                  </c:pt>
                  <c:pt idx="2">
                    <c:v>8.6699521161866659</c:v>
                  </c:pt>
                  <c:pt idx="3">
                    <c:v>8.1494097202115672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Bloodwork!$K$23:$N$24</c:f>
              <c:multiLvlStrCache>
                <c:ptCount val="4"/>
                <c:lvl>
                  <c:pt idx="0">
                    <c:v>Pre</c:v>
                  </c:pt>
                  <c:pt idx="1">
                    <c:v>Post</c:v>
                  </c:pt>
                  <c:pt idx="2">
                    <c:v>Pre</c:v>
                  </c:pt>
                  <c:pt idx="3">
                    <c:v>Post</c:v>
                  </c:pt>
                </c:lvl>
                <c:lvl>
                  <c:pt idx="0">
                    <c:v>IFN-γ</c:v>
                  </c:pt>
                  <c:pt idx="2">
                    <c:v>TNF-α</c:v>
                  </c:pt>
                </c:lvl>
              </c:multiLvlStrCache>
            </c:multiLvlStrRef>
          </c:cat>
          <c:val>
            <c:numRef>
              <c:f>Bloodwork!$K$25:$N$25</c:f>
              <c:numCache>
                <c:formatCode>General</c:formatCode>
                <c:ptCount val="4"/>
                <c:pt idx="0">
                  <c:v>11.276363636363637</c:v>
                </c:pt>
                <c:pt idx="1">
                  <c:v>9.6690909090909098</c:v>
                </c:pt>
                <c:pt idx="2">
                  <c:v>19.288333333333334</c:v>
                </c:pt>
                <c:pt idx="3" formatCode="0.0000">
                  <c:v>17.236666666666668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2-4FB3-BAA8-6412E261B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082256"/>
        <c:axId val="532082648"/>
      </c:barChart>
      <c:catAx>
        <c:axId val="5320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082648"/>
        <c:crosses val="autoZero"/>
        <c:auto val="1"/>
        <c:lblAlgn val="ctr"/>
        <c:lblOffset val="100"/>
        <c:noMultiLvlLbl val="0"/>
      </c:catAx>
      <c:valAx>
        <c:axId val="5320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pg/mL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08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C-Reactive Protein Levels (&gt;2.5mg/L)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Bloodwork!$B$34:$C$34</c:f>
                <c:numCache>
                  <c:formatCode>General</c:formatCode>
                  <c:ptCount val="2"/>
                  <c:pt idx="0">
                    <c:v>1.6403254269170131</c:v>
                  </c:pt>
                  <c:pt idx="1">
                    <c:v>1.7240650484910864</c:v>
                  </c:pt>
                </c:numCache>
              </c:numRef>
            </c:plus>
            <c:minus>
              <c:numRef>
                <c:f>Bloodwork!$B$34:$C$34</c:f>
                <c:numCache>
                  <c:formatCode>General</c:formatCode>
                  <c:ptCount val="2"/>
                  <c:pt idx="0">
                    <c:v>1.6403254269170131</c:v>
                  </c:pt>
                  <c:pt idx="1">
                    <c:v>1.7240650484910864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Bloodwork!$B$32:$C$32</c:f>
              <c:strCache>
                <c:ptCount val="2"/>
                <c:pt idx="0">
                  <c:v>Pre</c:v>
                </c:pt>
                <c:pt idx="1">
                  <c:v>Post</c:v>
                </c:pt>
              </c:strCache>
            </c:strRef>
          </c:cat>
          <c:val>
            <c:numRef>
              <c:f>Bloodwork!$B$33:$C$33</c:f>
              <c:numCache>
                <c:formatCode>0.0000</c:formatCode>
                <c:ptCount val="2"/>
                <c:pt idx="0">
                  <c:v>4.2755428571428569</c:v>
                </c:pt>
                <c:pt idx="1">
                  <c:v>1.9346142857142858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8-4769-B0FC-8F4F9852B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083432"/>
        <c:axId val="532083824"/>
      </c:barChart>
      <c:catAx>
        <c:axId val="53208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083824"/>
        <c:crosses val="autoZero"/>
        <c:auto val="1"/>
        <c:lblAlgn val="ctr"/>
        <c:lblOffset val="100"/>
        <c:noMultiLvlLbl val="0"/>
      </c:catAx>
      <c:valAx>
        <c:axId val="53208382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08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Max. Hip Abduction (N)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'Lower Body Strength'!$A$3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Strength'!$X$3,'Lower Body Strength'!$Z$3)</c:f>
              <c:numCache>
                <c:formatCode>General</c:formatCode>
                <c:ptCount val="2"/>
                <c:pt idx="0">
                  <c:v>271.27438799999999</c:v>
                </c:pt>
                <c:pt idx="1">
                  <c:v>276.30810899999994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3-4E56-8A1E-5AF241B13EFD}"/>
            </c:ext>
          </c:extLst>
        </c:ser>
        <c:ser>
          <c:idx val="1"/>
          <c:order val="1"/>
          <c:tx>
            <c:strRef>
              <c:f>'Lower Body Strength'!$A$4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Strength'!$X$4,'Lower Body Strength'!$Z$4)</c:f>
              <c:numCache>
                <c:formatCode>General</c:formatCode>
                <c:ptCount val="2"/>
                <c:pt idx="0">
                  <c:v>159.15645899999998</c:v>
                </c:pt>
                <c:pt idx="1">
                  <c:v>145.683615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3-4E56-8A1E-5AF241B13EFD}"/>
            </c:ext>
          </c:extLst>
        </c:ser>
        <c:ser>
          <c:idx val="2"/>
          <c:order val="2"/>
          <c:tx>
            <c:strRef>
              <c:f>'Lower Body Strength'!$A$5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Strength'!$X$5,'Lower Body Strength'!$Z$5)</c:f>
              <c:numCache>
                <c:formatCode>General</c:formatCode>
                <c:ptCount val="2"/>
                <c:pt idx="0">
                  <c:v>139.46624999999997</c:v>
                </c:pt>
                <c:pt idx="1">
                  <c:v>163.59674099999998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3-4E56-8A1E-5AF241B13EFD}"/>
            </c:ext>
          </c:extLst>
        </c:ser>
        <c:ser>
          <c:idx val="3"/>
          <c:order val="3"/>
          <c:tx>
            <c:strRef>
              <c:f>'Lower Body Strength'!$A$6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Strength'!$X$6,'Lower Body Strength'!$Z$6)</c:f>
              <c:numCache>
                <c:formatCode>General</c:formatCode>
                <c:ptCount val="2"/>
                <c:pt idx="0">
                  <c:v>339.12694200000004</c:v>
                </c:pt>
                <c:pt idx="1">
                  <c:v>329.355411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C3-4E56-8A1E-5AF241B13EFD}"/>
            </c:ext>
          </c:extLst>
        </c:ser>
        <c:ser>
          <c:idx val="4"/>
          <c:order val="4"/>
          <c:tx>
            <c:strRef>
              <c:f>'Lower Body Strength'!$A$7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Strength'!$X$7,'Lower Body Strength'!$Z$7)</c:f>
              <c:numCache>
                <c:formatCode>General</c:formatCode>
                <c:ptCount val="2"/>
                <c:pt idx="0">
                  <c:v>229.47655499999996</c:v>
                </c:pt>
                <c:pt idx="1">
                  <c:v>263.92188899999996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C3-4E56-8A1E-5AF241B13EFD}"/>
            </c:ext>
          </c:extLst>
        </c:ser>
        <c:ser>
          <c:idx val="5"/>
          <c:order val="5"/>
          <c:tx>
            <c:strRef>
              <c:f>'Lower Body Strength'!$A$8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Strength'!$X$8,'Lower Body Strength'!$Z$8)</c:f>
              <c:numCache>
                <c:formatCode>General</c:formatCode>
                <c:ptCount val="2"/>
                <c:pt idx="0">
                  <c:v>194.88407399999997</c:v>
                </c:pt>
                <c:pt idx="1">
                  <c:v>224.29568699999999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C3-4E56-8A1E-5AF241B13EFD}"/>
            </c:ext>
          </c:extLst>
        </c:ser>
        <c:ser>
          <c:idx val="6"/>
          <c:order val="6"/>
          <c:tx>
            <c:strRef>
              <c:f>'Lower Body Strength'!$A$9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Strength'!$X$9,'Lower Body Strength'!$Z$9)</c:f>
              <c:numCache>
                <c:formatCode>General</c:formatCode>
                <c:ptCount val="2"/>
                <c:pt idx="0">
                  <c:v>143.167563</c:v>
                </c:pt>
                <c:pt idx="1">
                  <c:v>159.69815399999999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C3-4E56-8A1E-5AF241B13EFD}"/>
            </c:ext>
          </c:extLst>
        </c:ser>
        <c:ser>
          <c:idx val="7"/>
          <c:order val="7"/>
          <c:tx>
            <c:strRef>
              <c:f>'Lower Body Strength'!$A$10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Strength'!$X$10,'Lower Body Strength'!$Z$10)</c:f>
              <c:numCache>
                <c:formatCode>General</c:formatCode>
                <c:ptCount val="2"/>
                <c:pt idx="0">
                  <c:v>120.86266499999998</c:v>
                </c:pt>
                <c:pt idx="1">
                  <c:v>130.73121599999999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C3-4E56-8A1E-5AF241B13EFD}"/>
            </c:ext>
          </c:extLst>
        </c:ser>
        <c:ser>
          <c:idx val="8"/>
          <c:order val="8"/>
          <c:tx>
            <c:strRef>
              <c:f>'Lower Body Strength'!$A$11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Strength'!$X$11,'Lower Body Strength'!$Z$11)</c:f>
              <c:numCache>
                <c:formatCode>General</c:formatCode>
                <c:ptCount val="2"/>
                <c:pt idx="0">
                  <c:v>204.65398799999997</c:v>
                </c:pt>
                <c:pt idx="1">
                  <c:v>246.30467399999998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C3-4E56-8A1E-5AF241B13EFD}"/>
            </c:ext>
          </c:extLst>
        </c:ser>
        <c:ser>
          <c:idx val="9"/>
          <c:order val="9"/>
          <c:tx>
            <c:strRef>
              <c:f>'Lower Body Strength'!$A$12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Strength'!$X$12,'Lower Body Strength'!$Z$12)</c:f>
              <c:numCache>
                <c:formatCode>General</c:formatCode>
                <c:ptCount val="2"/>
                <c:pt idx="0">
                  <c:v>239.29659599999999</c:v>
                </c:pt>
                <c:pt idx="1">
                  <c:v>239.14783199999999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C3-4E56-8A1E-5AF241B13EFD}"/>
            </c:ext>
          </c:extLst>
        </c:ser>
        <c:ser>
          <c:idx val="10"/>
          <c:order val="10"/>
          <c:tx>
            <c:strRef>
              <c:f>'Lower Body Strength'!$A$13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Strength'!$X$13,'Lower Body Strength'!$Z$13)</c:f>
              <c:numCache>
                <c:formatCode>General</c:formatCode>
                <c:ptCount val="2"/>
                <c:pt idx="0">
                  <c:v>217.28760899999997</c:v>
                </c:pt>
                <c:pt idx="1">
                  <c:v>224.788872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C3-4E56-8A1E-5AF241B13EFD}"/>
            </c:ext>
          </c:extLst>
        </c:ser>
        <c:ser>
          <c:idx val="11"/>
          <c:order val="11"/>
          <c:tx>
            <c:strRef>
              <c:f>'Lower Body Strength'!$A$14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Strength'!$X$14,'Lower Body Strength'!$Z$14)</c:f>
              <c:numCache>
                <c:formatCode>General</c:formatCode>
                <c:ptCount val="2"/>
                <c:pt idx="0">
                  <c:v>195.27862199999998</c:v>
                </c:pt>
                <c:pt idx="1">
                  <c:v>195.57453299999997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C3-4E56-8A1E-5AF241B13EFD}"/>
            </c:ext>
          </c:extLst>
        </c:ser>
        <c:ser>
          <c:idx val="12"/>
          <c:order val="12"/>
          <c:tx>
            <c:strRef>
              <c:f>'Lower Body Strength'!$A$15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('Lower Body Strength'!$X$15,'Lower Body Strength'!$Z$15)</c:f>
              <c:numCache>
                <c:formatCode>General</c:formatCode>
                <c:ptCount val="2"/>
                <c:pt idx="0">
                  <c:v>227.25641399999998</c:v>
                </c:pt>
                <c:pt idx="1">
                  <c:v>240.57887700000001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C3-4E56-8A1E-5AF241B1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13048"/>
        <c:axId val="244813440"/>
      </c:lineChart>
      <c:catAx>
        <c:axId val="244813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13440"/>
        <c:crosses val="autoZero"/>
        <c:auto val="1"/>
        <c:lblAlgn val="ctr"/>
        <c:lblOffset val="100"/>
        <c:noMultiLvlLbl val="0"/>
      </c:catAx>
      <c:valAx>
        <c:axId val="24481344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13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</a:t>
            </a:r>
            <a:r>
              <a:rPr lang="en-US" baseline="0"/>
              <a:t> Hip Abduction Normalized to BW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[1]Sheet1!$B$2:$C$2</c:f>
              <c:numCache>
                <c:formatCode>General</c:formatCode>
                <c:ptCount val="2"/>
                <c:pt idx="0">
                  <c:v>3.15985222155309</c:v>
                </c:pt>
                <c:pt idx="1">
                  <c:v>3.2083169054502365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0-4005-A1D7-77EAE0F313CA}"/>
            </c:ext>
          </c:extLst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[1]Sheet1!$B$3:$C$3</c:f>
              <c:numCache>
                <c:formatCode>General</c:formatCode>
                <c:ptCount val="2"/>
                <c:pt idx="0">
                  <c:v>1.7941717387269938</c:v>
                </c:pt>
                <c:pt idx="1">
                  <c:v>1.6704751485959437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0-4005-A1D7-77EAE0F313CA}"/>
            </c:ext>
          </c:extLst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[1]Sheet1!$B$4:$C$4</c:f>
              <c:numCache>
                <c:formatCode>General</c:formatCode>
                <c:ptCount val="2"/>
                <c:pt idx="0">
                  <c:v>2.3139434255079001</c:v>
                </c:pt>
                <c:pt idx="1">
                  <c:v>2.774852414653846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00-4005-A1D7-77EAE0F313CA}"/>
            </c:ext>
          </c:extLst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[1]Sheet1!$B$5:$C$5</c:f>
              <c:numCache>
                <c:formatCode>General</c:formatCode>
                <c:ptCount val="2"/>
                <c:pt idx="0">
                  <c:v>3.5205974911016953</c:v>
                </c:pt>
                <c:pt idx="1">
                  <c:v>3.3575066169902912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00-4005-A1D7-77EAE0F313CA}"/>
            </c:ext>
          </c:extLst>
        </c:ser>
        <c:ser>
          <c:idx val="4"/>
          <c:order val="4"/>
          <c:tx>
            <c:strRef>
              <c:f>[1]Sheet1!$A$6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[1]Sheet1!$B$6:$C$6</c:f>
              <c:numCache>
                <c:formatCode>General</c:formatCode>
                <c:ptCount val="2"/>
                <c:pt idx="0">
                  <c:v>2.5724240151245548</c:v>
                </c:pt>
                <c:pt idx="1">
                  <c:v>2.8923845191103381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00-4005-A1D7-77EAE0F313CA}"/>
            </c:ext>
          </c:extLst>
        </c:ser>
        <c:ser>
          <c:idx val="5"/>
          <c:order val="5"/>
          <c:tx>
            <c:strRef>
              <c:f>[1]Sheet1!$A$7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[1]Sheet1!$B$7:$C$7</c:f>
              <c:numCache>
                <c:formatCode>General</c:formatCode>
                <c:ptCount val="2"/>
                <c:pt idx="0">
                  <c:v>2.2979646158823526</c:v>
                </c:pt>
                <c:pt idx="1">
                  <c:v>2.6237240840053047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00-4005-A1D7-77EAE0F313CA}"/>
            </c:ext>
          </c:extLst>
        </c:ser>
        <c:ser>
          <c:idx val="6"/>
          <c:order val="6"/>
          <c:tx>
            <c:strRef>
              <c:f>[1]Sheet1!$A$8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[1]Sheet1!$B$8:$C$8</c:f>
              <c:numCache>
                <c:formatCode>General</c:formatCode>
                <c:ptCount val="2"/>
                <c:pt idx="0">
                  <c:v>3.0619250864694472</c:v>
                </c:pt>
                <c:pt idx="1">
                  <c:v>3.3346063406250002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00-4005-A1D7-77EAE0F313CA}"/>
            </c:ext>
          </c:extLst>
        </c:ser>
        <c:ser>
          <c:idx val="7"/>
          <c:order val="7"/>
          <c:tx>
            <c:strRef>
              <c:f>[1]Sheet1!$A$9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[1]Sheet1!$B$9:$C$9</c:f>
              <c:numCache>
                <c:formatCode>General</c:formatCode>
                <c:ptCount val="2"/>
                <c:pt idx="0">
                  <c:v>1.9022282392933616</c:v>
                </c:pt>
                <c:pt idx="1">
                  <c:v>2.1384445940652816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00-4005-A1D7-77EAE0F313CA}"/>
            </c:ext>
          </c:extLst>
        </c:ser>
        <c:ser>
          <c:idx val="8"/>
          <c:order val="8"/>
          <c:tx>
            <c:strRef>
              <c:f>[1]Sheet1!$A$10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[1]Sheet1!$B$10:$C$10</c:f>
              <c:numCache>
                <c:formatCode>General</c:formatCode>
                <c:ptCount val="2"/>
                <c:pt idx="0">
                  <c:v>2.208820575330396</c:v>
                </c:pt>
                <c:pt idx="1">
                  <c:v>2.6859634330860533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C00-4005-A1D7-77EAE0F313CA}"/>
            </c:ext>
          </c:extLst>
        </c:ser>
        <c:ser>
          <c:idx val="9"/>
          <c:order val="9"/>
          <c:tx>
            <c:strRef>
              <c:f>[1]Sheet1!$A$11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[1]Sheet1!$B$11:$C$11</c:f>
              <c:numCache>
                <c:formatCode>General</c:formatCode>
                <c:ptCount val="2"/>
                <c:pt idx="0">
                  <c:v>2.5915962386051081</c:v>
                </c:pt>
                <c:pt idx="1">
                  <c:v>2.7069864967145789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C00-4005-A1D7-77EAE0F313CA}"/>
            </c:ext>
          </c:extLst>
        </c:ser>
        <c:ser>
          <c:idx val="10"/>
          <c:order val="10"/>
          <c:tx>
            <c:strRef>
              <c:f>[1]Sheet1!$A$12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[1]Sheet1!$B$12:$C$12</c:f>
              <c:numCache>
                <c:formatCode>General</c:formatCode>
                <c:ptCount val="2"/>
                <c:pt idx="0">
                  <c:v>2.9448013389366934</c:v>
                </c:pt>
                <c:pt idx="1">
                  <c:v>3.1232480325141778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00-4005-A1D7-77EAE0F313CA}"/>
            </c:ext>
          </c:extLst>
        </c:ser>
        <c:ser>
          <c:idx val="11"/>
          <c:order val="11"/>
          <c:tx>
            <c:strRef>
              <c:f>[1]Sheet1!$A$13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[1]Sheet1!$B$13:$C$13</c:f>
              <c:numCache>
                <c:formatCode>General</c:formatCode>
                <c:ptCount val="2"/>
                <c:pt idx="0">
                  <c:v>2.592350159602649</c:v>
                </c:pt>
                <c:pt idx="1">
                  <c:v>2.6505337754456053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C00-4005-A1D7-77EAE0F313CA}"/>
            </c:ext>
          </c:extLst>
        </c:ser>
        <c:ser>
          <c:idx val="12"/>
          <c:order val="12"/>
          <c:tx>
            <c:strRef>
              <c:f>[1]Sheet1!$A$14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[1]Sheet1!$B$1:$C$1</c:f>
              <c:strCache>
                <c:ptCount val="2"/>
                <c:pt idx="0">
                  <c:v>Pre Normalized Hip Abd</c:v>
                </c:pt>
                <c:pt idx="1">
                  <c:v>Post Normalized Hip Abd</c:v>
                </c:pt>
              </c:strCache>
            </c:strRef>
          </c:cat>
          <c:val>
            <c:numRef>
              <c:f>[1]Sheet1!$B$14:$C$14</c:f>
              <c:numCache>
                <c:formatCode>General</c:formatCode>
                <c:ptCount val="2"/>
                <c:pt idx="0">
                  <c:v>2.135067715679591</c:v>
                </c:pt>
                <c:pt idx="1">
                  <c:v>2.3410257007281556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C00-4005-A1D7-77EAE0F31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71360"/>
        <c:axId val="183869792"/>
      </c:lineChart>
      <c:catAx>
        <c:axId val="1838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69792"/>
        <c:crosses val="autoZero"/>
        <c:auto val="1"/>
        <c:lblAlgn val="ctr"/>
        <c:lblOffset val="100"/>
        <c:noMultiLvlLbl val="0"/>
      </c:catAx>
      <c:valAx>
        <c:axId val="183869792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Heel Raise (Number of Reps in 30s)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[2]Sheet1!$A$2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[2]Sheet1!$B$2:$C$2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4-4E1C-A289-D17A8D74586C}"/>
            </c:ext>
          </c:extLst>
        </c:ser>
        <c:ser>
          <c:idx val="1"/>
          <c:order val="1"/>
          <c:tx>
            <c:strRef>
              <c:f>[2]Sheet1!$A$3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[2]Sheet1!$B$3:$C$3</c:f>
              <c:numCache>
                <c:formatCode>General</c:formatCode>
                <c:ptCount val="2"/>
                <c:pt idx="0">
                  <c:v>12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4-4E1C-A289-D17A8D74586C}"/>
            </c:ext>
          </c:extLst>
        </c:ser>
        <c:ser>
          <c:idx val="2"/>
          <c:order val="2"/>
          <c:tx>
            <c:strRef>
              <c:f>[2]Sheet1!$A$4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[2]Sheet1!$B$4:$C$4</c:f>
              <c:numCache>
                <c:formatCode>General</c:formatCode>
                <c:ptCount val="2"/>
                <c:pt idx="0">
                  <c:v>9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4-4E1C-A289-D17A8D74586C}"/>
            </c:ext>
          </c:extLst>
        </c:ser>
        <c:ser>
          <c:idx val="3"/>
          <c:order val="3"/>
          <c:tx>
            <c:strRef>
              <c:f>[2]Sheet1!$A$5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[2]Sheet1!$B$5:$C$5</c:f>
              <c:numCache>
                <c:formatCode>General</c:formatCode>
                <c:ptCount val="2"/>
                <c:pt idx="0">
                  <c:v>13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B4-4E1C-A289-D17A8D74586C}"/>
            </c:ext>
          </c:extLst>
        </c:ser>
        <c:ser>
          <c:idx val="4"/>
          <c:order val="4"/>
          <c:tx>
            <c:strRef>
              <c:f>[2]Sheet1!$A$6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[2]Sheet1!$B$6:$C$6</c:f>
              <c:numCache>
                <c:formatCode>General</c:formatCode>
                <c:ptCount val="2"/>
                <c:pt idx="0">
                  <c:v>10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B4-4E1C-A289-D17A8D74586C}"/>
            </c:ext>
          </c:extLst>
        </c:ser>
        <c:ser>
          <c:idx val="5"/>
          <c:order val="5"/>
          <c:tx>
            <c:strRef>
              <c:f>[2]Sheet1!$A$7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[2]Sheet1!$B$7:$C$7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B4-4E1C-A289-D17A8D74586C}"/>
            </c:ext>
          </c:extLst>
        </c:ser>
        <c:ser>
          <c:idx val="6"/>
          <c:order val="6"/>
          <c:tx>
            <c:strRef>
              <c:f>[2]Sheet1!$A$8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[2]Sheet1!$B$8:$C$8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B4-4E1C-A289-D17A8D74586C}"/>
            </c:ext>
          </c:extLst>
        </c:ser>
        <c:ser>
          <c:idx val="7"/>
          <c:order val="7"/>
          <c:tx>
            <c:strRef>
              <c:f>[2]Sheet1!$A$9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[2]Sheet1!$B$9:$C$9</c:f>
              <c:numCache>
                <c:formatCode>General</c:formatCode>
                <c:ptCount val="2"/>
                <c:pt idx="0">
                  <c:v>12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B4-4E1C-A289-D17A8D74586C}"/>
            </c:ext>
          </c:extLst>
        </c:ser>
        <c:ser>
          <c:idx val="8"/>
          <c:order val="8"/>
          <c:tx>
            <c:strRef>
              <c:f>[2]Sheet1!$A$10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[2]Sheet1!$B$10:$C$10</c:f>
              <c:numCache>
                <c:formatCode>General</c:formatCode>
                <c:ptCount val="2"/>
                <c:pt idx="0">
                  <c:v>14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B4-4E1C-A289-D17A8D74586C}"/>
            </c:ext>
          </c:extLst>
        </c:ser>
        <c:ser>
          <c:idx val="9"/>
          <c:order val="9"/>
          <c:tx>
            <c:strRef>
              <c:f>[2]Sheet1!$A$11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[2]Sheet1!$B$11:$C$11</c:f>
              <c:numCache>
                <c:formatCode>General</c:formatCode>
                <c:ptCount val="2"/>
                <c:pt idx="0">
                  <c:v>10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EB4-4E1C-A289-D17A8D74586C}"/>
            </c:ext>
          </c:extLst>
        </c:ser>
        <c:ser>
          <c:idx val="10"/>
          <c:order val="10"/>
          <c:tx>
            <c:strRef>
              <c:f>[2]Sheet1!$A$12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[2]Sheet1!$B$12:$C$12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B4-4E1C-A289-D17A8D74586C}"/>
            </c:ext>
          </c:extLst>
        </c:ser>
        <c:ser>
          <c:idx val="11"/>
          <c:order val="11"/>
          <c:tx>
            <c:strRef>
              <c:f>[2]Sheet1!$A$13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[2]Sheet1!$B$13:$C$13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EB4-4E1C-A289-D17A8D74586C}"/>
            </c:ext>
          </c:extLst>
        </c:ser>
        <c:ser>
          <c:idx val="12"/>
          <c:order val="12"/>
          <c:tx>
            <c:strRef>
              <c:f>[2]Sheet1!$A$14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[2]Sheet1!$B$1:$C$1</c:f>
              <c:strCache>
                <c:ptCount val="2"/>
                <c:pt idx="0">
                  <c:v>HeelRaisePre</c:v>
                </c:pt>
                <c:pt idx="1">
                  <c:v>HeelRaisePost</c:v>
                </c:pt>
              </c:strCache>
            </c:strRef>
          </c:cat>
          <c:val>
            <c:numRef>
              <c:f>[2]Sheet1!$B$14:$C$14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EB4-4E1C-A289-D17A8D745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657816"/>
        <c:axId val="480658208"/>
      </c:lineChart>
      <c:catAx>
        <c:axId val="48065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58208"/>
        <c:crosses val="autoZero"/>
        <c:auto val="1"/>
        <c:lblAlgn val="ctr"/>
        <c:lblOffset val="100"/>
        <c:noMultiLvlLbl val="0"/>
      </c:catAx>
      <c:valAx>
        <c:axId val="480658208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57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8' Up and Go (s)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'Agility-Dy Balance'!$A$2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Balance'!$C$2:$D$2</c:f>
              <c:numCache>
                <c:formatCode>General</c:formatCode>
                <c:ptCount val="2"/>
                <c:pt idx="0">
                  <c:v>4.9499999999999993</c:v>
                </c:pt>
                <c:pt idx="1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C-4C25-A74D-77B833890532}"/>
            </c:ext>
          </c:extLst>
        </c:ser>
        <c:ser>
          <c:idx val="1"/>
          <c:order val="1"/>
          <c:tx>
            <c:strRef>
              <c:f>'Agility-Dy Balance'!$A$3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Balance'!$C$3:$D$3</c:f>
              <c:numCache>
                <c:formatCode>General</c:formatCode>
                <c:ptCount val="2"/>
                <c:pt idx="0">
                  <c:v>5.4700000000000006</c:v>
                </c:pt>
                <c:pt idx="1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C-4C25-A74D-77B833890532}"/>
            </c:ext>
          </c:extLst>
        </c:ser>
        <c:ser>
          <c:idx val="2"/>
          <c:order val="2"/>
          <c:tx>
            <c:strRef>
              <c:f>'Agility-Dy Balance'!$A$4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Balance'!$C$4:$D$4</c:f>
              <c:numCache>
                <c:formatCode>General</c:formatCode>
                <c:ptCount val="2"/>
                <c:pt idx="0">
                  <c:v>5.7650000000000006</c:v>
                </c:pt>
                <c:pt idx="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C-4C25-A74D-77B833890532}"/>
            </c:ext>
          </c:extLst>
        </c:ser>
        <c:ser>
          <c:idx val="3"/>
          <c:order val="3"/>
          <c:tx>
            <c:strRef>
              <c:f>'Agility-Dy Balance'!$A$5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Balance'!$C$5:$D$5</c:f>
              <c:numCache>
                <c:formatCode>General</c:formatCode>
                <c:ptCount val="2"/>
                <c:pt idx="0">
                  <c:v>5.58</c:v>
                </c:pt>
                <c:pt idx="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4C-4C25-A74D-77B833890532}"/>
            </c:ext>
          </c:extLst>
        </c:ser>
        <c:ser>
          <c:idx val="4"/>
          <c:order val="4"/>
          <c:tx>
            <c:strRef>
              <c:f>'Agility-Dy Balance'!$A$6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Balance'!$C$6:$D$6</c:f>
              <c:numCache>
                <c:formatCode>General</c:formatCode>
                <c:ptCount val="2"/>
                <c:pt idx="0">
                  <c:v>4.4049999999999994</c:v>
                </c:pt>
                <c:pt idx="1">
                  <c:v>4.1500000000000004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4C-4C25-A74D-77B833890532}"/>
            </c:ext>
          </c:extLst>
        </c:ser>
        <c:ser>
          <c:idx val="5"/>
          <c:order val="5"/>
          <c:tx>
            <c:strRef>
              <c:f>'Agility-Dy Balance'!$A$7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Balance'!$C$7:$D$7</c:f>
              <c:numCache>
                <c:formatCode>General</c:formatCode>
                <c:ptCount val="2"/>
                <c:pt idx="0">
                  <c:v>5.9550000000000001</c:v>
                </c:pt>
                <c:pt idx="1">
                  <c:v>5.4749999999999996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4C-4C25-A74D-77B833890532}"/>
            </c:ext>
          </c:extLst>
        </c:ser>
        <c:ser>
          <c:idx val="6"/>
          <c:order val="6"/>
          <c:tx>
            <c:strRef>
              <c:f>'Agility-Dy Balance'!$A$8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Balance'!$C$8:$D$8</c:f>
              <c:numCache>
                <c:formatCode>General</c:formatCode>
                <c:ptCount val="2"/>
                <c:pt idx="0">
                  <c:v>5.42</c:v>
                </c:pt>
                <c:pt idx="1">
                  <c:v>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4C-4C25-A74D-77B833890532}"/>
            </c:ext>
          </c:extLst>
        </c:ser>
        <c:ser>
          <c:idx val="7"/>
          <c:order val="7"/>
          <c:tx>
            <c:strRef>
              <c:f>'Agility-Dy Balance'!$A$9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Balance'!$C$9:$D$9</c:f>
              <c:numCache>
                <c:formatCode>General</c:formatCode>
                <c:ptCount val="2"/>
                <c:pt idx="0">
                  <c:v>4.8250000000000002</c:v>
                </c:pt>
                <c:pt idx="1">
                  <c:v>4.4700000000000006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4C-4C25-A74D-77B833890532}"/>
            </c:ext>
          </c:extLst>
        </c:ser>
        <c:ser>
          <c:idx val="8"/>
          <c:order val="8"/>
          <c:tx>
            <c:strRef>
              <c:f>'Agility-Dy Balance'!$A$10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Balance'!$C$10:$D$10</c:f>
              <c:numCache>
                <c:formatCode>General</c:formatCode>
                <c:ptCount val="2"/>
                <c:pt idx="0">
                  <c:v>4.6899999999999995</c:v>
                </c:pt>
                <c:pt idx="1">
                  <c:v>4.6400000000000006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4C-4C25-A74D-77B833890532}"/>
            </c:ext>
          </c:extLst>
        </c:ser>
        <c:ser>
          <c:idx val="9"/>
          <c:order val="9"/>
          <c:tx>
            <c:strRef>
              <c:f>'Agility-Dy Balance'!$A$11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Balance'!$C$11:$D$11</c:f>
              <c:numCache>
                <c:formatCode>General</c:formatCode>
                <c:ptCount val="2"/>
                <c:pt idx="0">
                  <c:v>6.0350000000000001</c:v>
                </c:pt>
                <c:pt idx="1">
                  <c:v>4.8149999999999995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4C-4C25-A74D-77B833890532}"/>
            </c:ext>
          </c:extLst>
        </c:ser>
        <c:ser>
          <c:idx val="10"/>
          <c:order val="10"/>
          <c:tx>
            <c:strRef>
              <c:f>'Agility-Dy Balance'!$A$12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Balance'!$C$12:$D$12</c:f>
              <c:numCache>
                <c:formatCode>General</c:formatCode>
                <c:ptCount val="2"/>
                <c:pt idx="0">
                  <c:v>6.0049999999999999</c:v>
                </c:pt>
                <c:pt idx="1">
                  <c:v>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4C-4C25-A74D-77B833890532}"/>
            </c:ext>
          </c:extLst>
        </c:ser>
        <c:ser>
          <c:idx val="11"/>
          <c:order val="11"/>
          <c:tx>
            <c:strRef>
              <c:f>'Agility-Dy Balance'!$A$13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Balance'!$C$13:$D$13</c:f>
              <c:numCache>
                <c:formatCode>General</c:formatCode>
                <c:ptCount val="2"/>
                <c:pt idx="0">
                  <c:v>4.4950000000000001</c:v>
                </c:pt>
                <c:pt idx="1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F4C-4C25-A74D-77B833890532}"/>
            </c:ext>
          </c:extLst>
        </c:ser>
        <c:ser>
          <c:idx val="12"/>
          <c:order val="12"/>
          <c:tx>
            <c:strRef>
              <c:f>'Agility-Dy Balance'!$A$14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Balance'!$C$14:$D$14</c:f>
              <c:numCache>
                <c:formatCode>General</c:formatCode>
                <c:ptCount val="2"/>
                <c:pt idx="0">
                  <c:v>5.1535000000000002</c:v>
                </c:pt>
                <c:pt idx="1">
                  <c:v>4.625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F4C-4C25-A74D-77B833890532}"/>
            </c:ext>
          </c:extLst>
        </c:ser>
        <c:ser>
          <c:idx val="13"/>
          <c:order val="13"/>
          <c:tx>
            <c:strRef>
              <c:f>'Agility-Dy Balance'!$A$15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'Agility-Dy Balance'!$C$1:$D$1</c:f>
              <c:strCache>
                <c:ptCount val="2"/>
                <c:pt idx="0">
                  <c:v>8ftUpAvPre</c:v>
                </c:pt>
                <c:pt idx="1">
                  <c:v>8ftUpAvPost</c:v>
                </c:pt>
              </c:strCache>
            </c:strRef>
          </c:cat>
          <c:val>
            <c:numRef>
              <c:f>'Agility-Dy Balance'!$C$15:$D$15</c:f>
              <c:numCache>
                <c:formatCode>General</c:formatCode>
                <c:ptCount val="2"/>
                <c:pt idx="0">
                  <c:v>6.4850000000000003</c:v>
                </c:pt>
                <c:pt idx="1">
                  <c:v>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F4C-4C25-A74D-77B833890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604632"/>
        <c:axId val="240605024"/>
      </c:lineChart>
      <c:catAx>
        <c:axId val="24060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05024"/>
        <c:crosses val="autoZero"/>
        <c:auto val="1"/>
        <c:lblAlgn val="ctr"/>
        <c:lblOffset val="100"/>
        <c:noMultiLvlLbl val="0"/>
      </c:catAx>
      <c:valAx>
        <c:axId val="240605024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0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CVLT Total T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CVLT!$A$2</c:f>
              <c:strCache>
                <c:ptCount val="1"/>
                <c:pt idx="0">
                  <c:v>GHA01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CVLT!$B$2:$C$2</c:f>
              <c:numCache>
                <c:formatCode>General</c:formatCode>
                <c:ptCount val="2"/>
                <c:pt idx="0">
                  <c:v>68</c:v>
                </c:pt>
                <c:pt idx="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3-4CF6-A839-79E6C9CEA1BE}"/>
            </c:ext>
          </c:extLst>
        </c:ser>
        <c:ser>
          <c:idx val="1"/>
          <c:order val="1"/>
          <c:tx>
            <c:strRef>
              <c:f>CVLT!$A$3</c:f>
              <c:strCache>
                <c:ptCount val="1"/>
                <c:pt idx="0">
                  <c:v>GHA03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CVLT!$B$3:$C$3</c:f>
              <c:numCache>
                <c:formatCode>General</c:formatCode>
                <c:ptCount val="2"/>
                <c:pt idx="0">
                  <c:v>48</c:v>
                </c:pt>
                <c:pt idx="1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3-4CF6-A839-79E6C9CEA1BE}"/>
            </c:ext>
          </c:extLst>
        </c:ser>
        <c:ser>
          <c:idx val="2"/>
          <c:order val="2"/>
          <c:tx>
            <c:strRef>
              <c:f>CVLT!$A$4</c:f>
              <c:strCache>
                <c:ptCount val="1"/>
                <c:pt idx="0">
                  <c:v>GHA07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CVLT!$B$4:$C$4</c:f>
              <c:numCache>
                <c:formatCode>General</c:formatCode>
                <c:ptCount val="2"/>
                <c:pt idx="0">
                  <c:v>60</c:v>
                </c:pt>
                <c:pt idx="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3-4CF6-A839-79E6C9CEA1BE}"/>
            </c:ext>
          </c:extLst>
        </c:ser>
        <c:ser>
          <c:idx val="3"/>
          <c:order val="3"/>
          <c:tx>
            <c:strRef>
              <c:f>CVLT!$A$5</c:f>
              <c:strCache>
                <c:ptCount val="1"/>
                <c:pt idx="0">
                  <c:v>GHA13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CVLT!$B$5:$C$5</c:f>
              <c:numCache>
                <c:formatCode>General</c:formatCode>
                <c:ptCount val="2"/>
                <c:pt idx="0">
                  <c:v>64</c:v>
                </c:pt>
                <c:pt idx="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3-4CF6-A839-79E6C9CEA1BE}"/>
            </c:ext>
          </c:extLst>
        </c:ser>
        <c:ser>
          <c:idx val="4"/>
          <c:order val="4"/>
          <c:tx>
            <c:strRef>
              <c:f>CVLT!$A$6</c:f>
              <c:strCache>
                <c:ptCount val="1"/>
                <c:pt idx="0">
                  <c:v>GHA15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CVLT!$B$6:$C$6</c:f>
              <c:numCache>
                <c:formatCode>General</c:formatCode>
                <c:ptCount val="2"/>
                <c:pt idx="0">
                  <c:v>62</c:v>
                </c:pt>
                <c:pt idx="1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3-4CF6-A839-79E6C9CEA1BE}"/>
            </c:ext>
          </c:extLst>
        </c:ser>
        <c:ser>
          <c:idx val="5"/>
          <c:order val="5"/>
          <c:tx>
            <c:strRef>
              <c:f>CVLT!$A$7</c:f>
              <c:strCache>
                <c:ptCount val="1"/>
                <c:pt idx="0">
                  <c:v>GHA16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CVLT!$B$7:$C$7</c:f>
              <c:numCache>
                <c:formatCode>General</c:formatCode>
                <c:ptCount val="2"/>
                <c:pt idx="0">
                  <c:v>40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3-4CF6-A839-79E6C9CEA1BE}"/>
            </c:ext>
          </c:extLst>
        </c:ser>
        <c:ser>
          <c:idx val="6"/>
          <c:order val="6"/>
          <c:tx>
            <c:strRef>
              <c:f>CVLT!$A$8</c:f>
              <c:strCache>
                <c:ptCount val="1"/>
                <c:pt idx="0">
                  <c:v>GHA21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CVLT!$B$8:$C$8</c:f>
              <c:numCache>
                <c:formatCode>General</c:formatCode>
                <c:ptCount val="2"/>
                <c:pt idx="0">
                  <c:v>64</c:v>
                </c:pt>
                <c:pt idx="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3-4CF6-A839-79E6C9CEA1BE}"/>
            </c:ext>
          </c:extLst>
        </c:ser>
        <c:ser>
          <c:idx val="7"/>
          <c:order val="7"/>
          <c:tx>
            <c:strRef>
              <c:f>CVLT!$A$9</c:f>
              <c:strCache>
                <c:ptCount val="1"/>
                <c:pt idx="0">
                  <c:v>GHA20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CVLT!$B$9:$C$9</c:f>
              <c:numCache>
                <c:formatCode>General</c:formatCode>
                <c:ptCount val="2"/>
                <c:pt idx="0">
                  <c:v>63</c:v>
                </c:pt>
                <c:pt idx="1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3-4CF6-A839-79E6C9CEA1BE}"/>
            </c:ext>
          </c:extLst>
        </c:ser>
        <c:ser>
          <c:idx val="8"/>
          <c:order val="8"/>
          <c:tx>
            <c:strRef>
              <c:f>CVLT!$A$10</c:f>
              <c:strCache>
                <c:ptCount val="1"/>
                <c:pt idx="0">
                  <c:v>GHA22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CVLT!$B$10:$C$10</c:f>
              <c:numCache>
                <c:formatCode>General</c:formatCode>
                <c:ptCount val="2"/>
                <c:pt idx="0">
                  <c:v>64</c:v>
                </c:pt>
                <c:pt idx="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3-4CF6-A839-79E6C9CEA1BE}"/>
            </c:ext>
          </c:extLst>
        </c:ser>
        <c:ser>
          <c:idx val="9"/>
          <c:order val="9"/>
          <c:tx>
            <c:strRef>
              <c:f>CVLT!$A$11</c:f>
              <c:strCache>
                <c:ptCount val="1"/>
                <c:pt idx="0">
                  <c:v>GHA28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CVLT!$B$11:$C$11</c:f>
              <c:numCache>
                <c:formatCode>General</c:formatCode>
                <c:ptCount val="2"/>
                <c:pt idx="0">
                  <c:v>70</c:v>
                </c:pt>
                <c:pt idx="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3-4CF6-A839-79E6C9CEA1BE}"/>
            </c:ext>
          </c:extLst>
        </c:ser>
        <c:ser>
          <c:idx val="10"/>
          <c:order val="10"/>
          <c:tx>
            <c:strRef>
              <c:f>CVLT!$A$12</c:f>
              <c:strCache>
                <c:ptCount val="1"/>
                <c:pt idx="0">
                  <c:v>GHA33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CVLT!$B$12:$C$12</c:f>
              <c:numCache>
                <c:formatCode>General</c:formatCode>
                <c:ptCount val="2"/>
                <c:pt idx="0">
                  <c:v>64</c:v>
                </c:pt>
                <c:pt idx="1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3-4CF6-A839-79E6C9CEA1BE}"/>
            </c:ext>
          </c:extLst>
        </c:ser>
        <c:ser>
          <c:idx val="11"/>
          <c:order val="11"/>
          <c:tx>
            <c:strRef>
              <c:f>CVLT!$A$13</c:f>
              <c:strCache>
                <c:ptCount val="1"/>
                <c:pt idx="0">
                  <c:v>GHA29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CVLT!$B$13:$C$13</c:f>
              <c:numCache>
                <c:formatCode>General</c:formatCode>
                <c:ptCount val="2"/>
                <c:pt idx="0">
                  <c:v>64</c:v>
                </c:pt>
                <c:pt idx="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03-4CF6-A839-79E6C9CEA1BE}"/>
            </c:ext>
          </c:extLst>
        </c:ser>
        <c:ser>
          <c:idx val="12"/>
          <c:order val="12"/>
          <c:tx>
            <c:strRef>
              <c:f>CVLT!$A$14</c:f>
              <c:strCache>
                <c:ptCount val="1"/>
                <c:pt idx="0">
                  <c:v>GHA30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CVLT!$B$14:$C$14</c:f>
              <c:numCache>
                <c:formatCode>General</c:formatCode>
                <c:ptCount val="2"/>
                <c:pt idx="0">
                  <c:v>52</c:v>
                </c:pt>
                <c:pt idx="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03-4CF6-A839-79E6C9CEA1BE}"/>
            </c:ext>
          </c:extLst>
        </c:ser>
        <c:ser>
          <c:idx val="13"/>
          <c:order val="13"/>
          <c:tx>
            <c:strRef>
              <c:f>CVLT!$A$15</c:f>
              <c:strCache>
                <c:ptCount val="1"/>
                <c:pt idx="0">
                  <c:v>GHA31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CVLT!$B$1:$C$1</c:f>
              <c:strCache>
                <c:ptCount val="2"/>
                <c:pt idx="0">
                  <c:v>TotalTPre</c:v>
                </c:pt>
                <c:pt idx="1">
                  <c:v>TotalTPost</c:v>
                </c:pt>
              </c:strCache>
            </c:strRef>
          </c:cat>
          <c:val>
            <c:numRef>
              <c:f>CVLT!$B$15:$C$15</c:f>
              <c:numCache>
                <c:formatCode>General</c:formatCode>
                <c:ptCount val="2"/>
                <c:pt idx="0">
                  <c:v>47</c:v>
                </c:pt>
                <c:pt idx="1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03-4CF6-A839-79E6C9CE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605808"/>
        <c:axId val="240606200"/>
      </c:lineChart>
      <c:catAx>
        <c:axId val="2406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06200"/>
        <c:crosses val="autoZero"/>
        <c:auto val="1"/>
        <c:lblAlgn val="ctr"/>
        <c:lblOffset val="100"/>
        <c:noMultiLvlLbl val="0"/>
      </c:catAx>
      <c:valAx>
        <c:axId val="240606200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Immediate Recall Raw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NIH!$E$2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CVLT!$F$2:$G$2</c:f>
              <c:numCache>
                <c:formatCode>General</c:formatCode>
                <c:ptCount val="2"/>
                <c:pt idx="0">
                  <c:v>55</c:v>
                </c:pt>
                <c:pt idx="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7-49AE-B004-6D4F68089955}"/>
            </c:ext>
          </c:extLst>
        </c:ser>
        <c:ser>
          <c:idx val="1"/>
          <c:order val="1"/>
          <c:tx>
            <c:strRef>
              <c:f>NIH!$E$3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CVLT!$F$3:$G$3</c:f>
              <c:numCache>
                <c:formatCode>General</c:formatCode>
                <c:ptCount val="2"/>
                <c:pt idx="0">
                  <c:v>39</c:v>
                </c:pt>
                <c:pt idx="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7-49AE-B004-6D4F68089955}"/>
            </c:ext>
          </c:extLst>
        </c:ser>
        <c:ser>
          <c:idx val="2"/>
          <c:order val="2"/>
          <c:tx>
            <c:strRef>
              <c:f>NIH!$E$4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CVLT!$F$4:$G$4</c:f>
              <c:numCache>
                <c:formatCode>General</c:formatCode>
                <c:ptCount val="2"/>
                <c:pt idx="0">
                  <c:v>53</c:v>
                </c:pt>
                <c:pt idx="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7-49AE-B004-6D4F68089955}"/>
            </c:ext>
          </c:extLst>
        </c:ser>
        <c:ser>
          <c:idx val="3"/>
          <c:order val="3"/>
          <c:tx>
            <c:strRef>
              <c:f>NIH!$E$5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CVLT!$F$5:$G$5</c:f>
              <c:numCache>
                <c:formatCode>General</c:formatCode>
                <c:ptCount val="2"/>
                <c:pt idx="0">
                  <c:v>60</c:v>
                </c:pt>
                <c:pt idx="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27-49AE-B004-6D4F68089955}"/>
            </c:ext>
          </c:extLst>
        </c:ser>
        <c:ser>
          <c:idx val="4"/>
          <c:order val="4"/>
          <c:tx>
            <c:strRef>
              <c:f>NIH!$E$6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CVLT!$F$6:$G$6</c:f>
              <c:numCache>
                <c:formatCode>General</c:formatCode>
                <c:ptCount val="2"/>
                <c:pt idx="0">
                  <c:v>50</c:v>
                </c:pt>
                <c:pt idx="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27-49AE-B004-6D4F68089955}"/>
            </c:ext>
          </c:extLst>
        </c:ser>
        <c:ser>
          <c:idx val="5"/>
          <c:order val="5"/>
          <c:tx>
            <c:strRef>
              <c:f>NIH!$E$7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CVLT!$F$7:$G$7</c:f>
              <c:numCache>
                <c:formatCode>General</c:formatCode>
                <c:ptCount val="2"/>
                <c:pt idx="0">
                  <c:v>36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27-49AE-B004-6D4F68089955}"/>
            </c:ext>
          </c:extLst>
        </c:ser>
        <c:ser>
          <c:idx val="6"/>
          <c:order val="6"/>
          <c:tx>
            <c:strRef>
              <c:f>NIH!$E$8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CVLT!$F$8:$G$8</c:f>
              <c:numCache>
                <c:formatCode>General</c:formatCode>
                <c:ptCount val="2"/>
                <c:pt idx="0">
                  <c:v>41</c:v>
                </c:pt>
                <c:pt idx="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27-49AE-B004-6D4F68089955}"/>
            </c:ext>
          </c:extLst>
        </c:ser>
        <c:ser>
          <c:idx val="7"/>
          <c:order val="7"/>
          <c:tx>
            <c:strRef>
              <c:f>NIH!$E$9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CVLT!$F$9:$G$9</c:f>
              <c:numCache>
                <c:formatCode>General</c:formatCode>
                <c:ptCount val="2"/>
                <c:pt idx="0">
                  <c:v>56</c:v>
                </c:pt>
                <c:pt idx="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27-49AE-B004-6D4F68089955}"/>
            </c:ext>
          </c:extLst>
        </c:ser>
        <c:ser>
          <c:idx val="8"/>
          <c:order val="8"/>
          <c:tx>
            <c:strRef>
              <c:f>NIH!$E$10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CVLT!$F$10:$G$10</c:f>
              <c:numCache>
                <c:formatCode>General</c:formatCode>
                <c:ptCount val="2"/>
                <c:pt idx="0">
                  <c:v>60</c:v>
                </c:pt>
                <c:pt idx="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27-49AE-B004-6D4F68089955}"/>
            </c:ext>
          </c:extLst>
        </c:ser>
        <c:ser>
          <c:idx val="9"/>
          <c:order val="9"/>
          <c:tx>
            <c:strRef>
              <c:f>NIH!$E$11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CVLT!$F$11:$G$11</c:f>
              <c:numCache>
                <c:formatCode>General</c:formatCode>
                <c:ptCount val="2"/>
                <c:pt idx="0">
                  <c:v>56</c:v>
                </c:pt>
                <c:pt idx="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27-49AE-B004-6D4F68089955}"/>
            </c:ext>
          </c:extLst>
        </c:ser>
        <c:ser>
          <c:idx val="10"/>
          <c:order val="10"/>
          <c:tx>
            <c:strRef>
              <c:f>NIH!$E$12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CVLT!$F$12:$G$12</c:f>
              <c:numCache>
                <c:formatCode>General</c:formatCode>
                <c:ptCount val="2"/>
                <c:pt idx="0">
                  <c:v>52</c:v>
                </c:pt>
                <c:pt idx="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27-49AE-B004-6D4F68089955}"/>
            </c:ext>
          </c:extLst>
        </c:ser>
        <c:ser>
          <c:idx val="11"/>
          <c:order val="11"/>
          <c:tx>
            <c:strRef>
              <c:f>NIH!$E$13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CVLT!$F$13:$G$13</c:f>
              <c:numCache>
                <c:formatCode>General</c:formatCode>
                <c:ptCount val="2"/>
                <c:pt idx="0">
                  <c:v>52</c:v>
                </c:pt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27-49AE-B004-6D4F68089955}"/>
            </c:ext>
          </c:extLst>
        </c:ser>
        <c:ser>
          <c:idx val="12"/>
          <c:order val="12"/>
          <c:tx>
            <c:strRef>
              <c:f>NIH!$E$14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CVLT!$F$14:$G$14</c:f>
              <c:numCache>
                <c:formatCode>General</c:formatCode>
                <c:ptCount val="2"/>
                <c:pt idx="0">
                  <c:v>48</c:v>
                </c:pt>
                <c:pt idx="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27-49AE-B004-6D4F68089955}"/>
            </c:ext>
          </c:extLst>
        </c:ser>
        <c:ser>
          <c:idx val="13"/>
          <c:order val="13"/>
          <c:tx>
            <c:strRef>
              <c:f>NIH!$E$15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CVLT!$F$1:$G$1</c:f>
              <c:strCache>
                <c:ptCount val="2"/>
                <c:pt idx="0">
                  <c:v>IR Pre</c:v>
                </c:pt>
                <c:pt idx="1">
                  <c:v>IR Post</c:v>
                </c:pt>
              </c:strCache>
            </c:strRef>
          </c:cat>
          <c:val>
            <c:numRef>
              <c:f>CVLT!$F$15:$G$15</c:f>
              <c:numCache>
                <c:formatCode>General</c:formatCode>
                <c:ptCount val="2"/>
                <c:pt idx="0">
                  <c:v>38</c:v>
                </c:pt>
                <c:pt idx="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A27-49AE-B004-6D4F6808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657424"/>
        <c:axId val="483909112"/>
      </c:lineChart>
      <c:catAx>
        <c:axId val="48065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09112"/>
        <c:crosses val="autoZero"/>
        <c:auto val="1"/>
        <c:lblAlgn val="ctr"/>
        <c:lblOffset val="100"/>
        <c:noMultiLvlLbl val="0"/>
      </c:catAx>
      <c:valAx>
        <c:axId val="483909112"/>
        <c:scaling>
          <c:orientation val="minMax"/>
          <c:max val="75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5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30</xdr:row>
      <xdr:rowOff>166687</xdr:rowOff>
    </xdr:from>
    <xdr:to>
      <xdr:col>7</xdr:col>
      <xdr:colOff>809625</xdr:colOff>
      <xdr:row>53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404812</xdr:colOff>
      <xdr:row>31</xdr:row>
      <xdr:rowOff>161925</xdr:rowOff>
    </xdr:from>
    <xdr:to>
      <xdr:col>12</xdr:col>
      <xdr:colOff>519112</xdr:colOff>
      <xdr:row>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142875</xdr:colOff>
      <xdr:row>31</xdr:row>
      <xdr:rowOff>76200</xdr:rowOff>
    </xdr:from>
    <xdr:to>
      <xdr:col>20</xdr:col>
      <xdr:colOff>447675</xdr:colOff>
      <xdr:row>48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490537</xdr:colOff>
      <xdr:row>37</xdr:row>
      <xdr:rowOff>47625</xdr:rowOff>
    </xdr:from>
    <xdr:to>
      <xdr:col>9</xdr:col>
      <xdr:colOff>109537</xdr:colOff>
      <xdr:row>51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71437</xdr:rowOff>
    </xdr:from>
    <xdr:to>
      <xdr:col>9</xdr:col>
      <xdr:colOff>809625</xdr:colOff>
      <xdr:row>38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566736</xdr:colOff>
      <xdr:row>26</xdr:row>
      <xdr:rowOff>133350</xdr:rowOff>
    </xdr:from>
    <xdr:to>
      <xdr:col>23</xdr:col>
      <xdr:colOff>104774</xdr:colOff>
      <xdr:row>51</xdr:row>
      <xdr:rowOff>76199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90487</xdr:colOff>
      <xdr:row>26</xdr:row>
      <xdr:rowOff>109536</xdr:rowOff>
    </xdr:from>
    <xdr:to>
      <xdr:col>26</xdr:col>
      <xdr:colOff>409575</xdr:colOff>
      <xdr:row>48</xdr:row>
      <xdr:rowOff>152399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26</xdr:row>
      <xdr:rowOff>0</xdr:rowOff>
    </xdr:from>
    <xdr:to>
      <xdr:col>35</xdr:col>
      <xdr:colOff>457200</xdr:colOff>
      <xdr:row>42</xdr:row>
      <xdr:rowOff>133350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285750</xdr:colOff>
      <xdr:row>25</xdr:row>
      <xdr:rowOff>47625</xdr:rowOff>
    </xdr:from>
    <xdr:to>
      <xdr:col>14</xdr:col>
      <xdr:colOff>323850</xdr:colOff>
      <xdr:row>39</xdr:row>
      <xdr:rowOff>123825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138112</xdr:rowOff>
    </xdr:from>
    <xdr:to>
      <xdr:col>13</xdr:col>
      <xdr:colOff>442913</xdr:colOff>
      <xdr:row>44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442912</xdr:colOff>
      <xdr:row>26</xdr:row>
      <xdr:rowOff>100011</xdr:rowOff>
    </xdr:from>
    <xdr:to>
      <xdr:col>11</xdr:col>
      <xdr:colOff>533400</xdr:colOff>
      <xdr:row>47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25</xdr:row>
      <xdr:rowOff>71437</xdr:rowOff>
    </xdr:from>
    <xdr:to>
      <xdr:col>18</xdr:col>
      <xdr:colOff>361950</xdr:colOff>
      <xdr:row>39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585787</xdr:colOff>
      <xdr:row>1</xdr:row>
      <xdr:rowOff>42862</xdr:rowOff>
    </xdr:from>
    <xdr:to>
      <xdr:col>25</xdr:col>
      <xdr:colOff>280987</xdr:colOff>
      <xdr:row>15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14287</xdr:colOff>
      <xdr:row>19</xdr:row>
      <xdr:rowOff>52387</xdr:rowOff>
    </xdr:from>
    <xdr:to>
      <xdr:col>26</xdr:col>
      <xdr:colOff>319087</xdr:colOff>
      <xdr:row>33</xdr:row>
      <xdr:rowOff>128587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461962</xdr:colOff>
      <xdr:row>30</xdr:row>
      <xdr:rowOff>52387</xdr:rowOff>
    </xdr:from>
    <xdr:to>
      <xdr:col>14</xdr:col>
      <xdr:colOff>157162</xdr:colOff>
      <xdr:row>44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233362</xdr:colOff>
      <xdr:row>25</xdr:row>
      <xdr:rowOff>33337</xdr:rowOff>
    </xdr:from>
    <xdr:to>
      <xdr:col>28</xdr:col>
      <xdr:colOff>538162</xdr:colOff>
      <xdr:row>39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423862</xdr:colOff>
      <xdr:row>27</xdr:row>
      <xdr:rowOff>71437</xdr:rowOff>
    </xdr:from>
    <xdr:to>
      <xdr:col>24</xdr:col>
      <xdr:colOff>119062</xdr:colOff>
      <xdr:row>41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547687</xdr:colOff>
      <xdr:row>29</xdr:row>
      <xdr:rowOff>4762</xdr:rowOff>
    </xdr:from>
    <xdr:to>
      <xdr:col>19</xdr:col>
      <xdr:colOff>242887</xdr:colOff>
      <xdr:row>43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604837</xdr:colOff>
      <xdr:row>32</xdr:row>
      <xdr:rowOff>157162</xdr:rowOff>
    </xdr:from>
    <xdr:to>
      <xdr:col>9</xdr:col>
      <xdr:colOff>300037</xdr:colOff>
      <xdr:row>47</xdr:row>
      <xdr:rowOff>42862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28</xdr:row>
      <xdr:rowOff>4762</xdr:rowOff>
    </xdr:from>
    <xdr:to>
      <xdr:col>7</xdr:col>
      <xdr:colOff>304800</xdr:colOff>
      <xdr:row>42</xdr:row>
      <xdr:rowOff>80962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4761</xdr:colOff>
      <xdr:row>7</xdr:row>
      <xdr:rowOff>161931</xdr:rowOff>
    </xdr:from>
    <xdr:to>
      <xdr:col>24</xdr:col>
      <xdr:colOff>85724</xdr:colOff>
      <xdr:row>30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35</xdr:row>
      <xdr:rowOff>109537</xdr:rowOff>
    </xdr:from>
    <xdr:to>
      <xdr:col>7</xdr:col>
      <xdr:colOff>400050</xdr:colOff>
      <xdr:row>49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595312</xdr:colOff>
      <xdr:row>29</xdr:row>
      <xdr:rowOff>128587</xdr:rowOff>
    </xdr:from>
    <xdr:to>
      <xdr:col>12</xdr:col>
      <xdr:colOff>290512</xdr:colOff>
      <xdr:row>44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519112</xdr:colOff>
      <xdr:row>29</xdr:row>
      <xdr:rowOff>52387</xdr:rowOff>
    </xdr:from>
    <xdr:to>
      <xdr:col>14</xdr:col>
      <xdr:colOff>452437</xdr:colOff>
      <xdr:row>43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242887</xdr:colOff>
      <xdr:row>33</xdr:row>
      <xdr:rowOff>9525</xdr:rowOff>
    </xdr:from>
    <xdr:to>
      <xdr:col>16</xdr:col>
      <xdr:colOff>428626</xdr:colOff>
      <xdr:row>49</xdr:row>
      <xdr:rowOff>76199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395287</xdr:colOff>
      <xdr:row>35</xdr:row>
      <xdr:rowOff>100012</xdr:rowOff>
    </xdr:from>
    <xdr:to>
      <xdr:col>19</xdr:col>
      <xdr:colOff>328612</xdr:colOff>
      <xdr:row>49</xdr:row>
      <xdr:rowOff>176212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138112</xdr:colOff>
      <xdr:row>33</xdr:row>
      <xdr:rowOff>119062</xdr:rowOff>
    </xdr:from>
    <xdr:to>
      <xdr:col>23</xdr:col>
      <xdr:colOff>442912</xdr:colOff>
      <xdr:row>48</xdr:row>
      <xdr:rowOff>4762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166687</xdr:colOff>
      <xdr:row>34</xdr:row>
      <xdr:rowOff>61912</xdr:rowOff>
    </xdr:from>
    <xdr:to>
      <xdr:col>29</xdr:col>
      <xdr:colOff>471487</xdr:colOff>
      <xdr:row>48</xdr:row>
      <xdr:rowOff>138112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204787</xdr:colOff>
      <xdr:row>35</xdr:row>
      <xdr:rowOff>52387</xdr:rowOff>
    </xdr:from>
    <xdr:to>
      <xdr:col>32</xdr:col>
      <xdr:colOff>509587</xdr:colOff>
      <xdr:row>49</xdr:row>
      <xdr:rowOff>128587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242887</xdr:colOff>
      <xdr:row>35</xdr:row>
      <xdr:rowOff>33337</xdr:rowOff>
    </xdr:from>
    <xdr:to>
      <xdr:col>37</xdr:col>
      <xdr:colOff>547687</xdr:colOff>
      <xdr:row>49</xdr:row>
      <xdr:rowOff>109537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33337</xdr:colOff>
      <xdr:row>35</xdr:row>
      <xdr:rowOff>119062</xdr:rowOff>
    </xdr:from>
    <xdr:to>
      <xdr:col>40</xdr:col>
      <xdr:colOff>338137</xdr:colOff>
      <xdr:row>50</xdr:row>
      <xdr:rowOff>4762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39</xdr:col>
      <xdr:colOff>395287</xdr:colOff>
      <xdr:row>31</xdr:row>
      <xdr:rowOff>4762</xdr:rowOff>
    </xdr:from>
    <xdr:to>
      <xdr:col>47</xdr:col>
      <xdr:colOff>90487</xdr:colOff>
      <xdr:row>45</xdr:row>
      <xdr:rowOff>80962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26</xdr:row>
      <xdr:rowOff>0</xdr:rowOff>
    </xdr:from>
    <xdr:to>
      <xdr:col>40</xdr:col>
      <xdr:colOff>395288</xdr:colOff>
      <xdr:row>43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152399</xdr:colOff>
      <xdr:row>1</xdr:row>
      <xdr:rowOff>66675</xdr:rowOff>
    </xdr:from>
    <xdr:to>
      <xdr:col>41</xdr:col>
      <xdr:colOff>409574</xdr:colOff>
      <xdr:row>18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171450</xdr:colOff>
      <xdr:row>9</xdr:row>
      <xdr:rowOff>133350</xdr:rowOff>
    </xdr:from>
    <xdr:to>
      <xdr:col>41</xdr:col>
      <xdr:colOff>533400</xdr:colOff>
      <xdr:row>23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57149</xdr:colOff>
      <xdr:row>20</xdr:row>
      <xdr:rowOff>66675</xdr:rowOff>
    </xdr:from>
    <xdr:to>
      <xdr:col>42</xdr:col>
      <xdr:colOff>276224</xdr:colOff>
      <xdr:row>35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Pre Normalized Hip Abd</v>
          </cell>
          <cell r="C1" t="str">
            <v>Post Normalized Hip Abd</v>
          </cell>
        </row>
        <row r="2">
          <cell r="A2" t="str">
            <v>GHA03</v>
          </cell>
          <cell r="B2">
            <v>3.15985222155309</v>
          </cell>
          <cell r="C2">
            <v>3.2083169054502365</v>
          </cell>
        </row>
        <row r="3">
          <cell r="A3" t="str">
            <v>GHA07</v>
          </cell>
          <cell r="B3">
            <v>1.7941717387269938</v>
          </cell>
          <cell r="C3">
            <v>1.6704751485959437</v>
          </cell>
        </row>
        <row r="4">
          <cell r="A4" t="str">
            <v>GHA13</v>
          </cell>
          <cell r="B4">
            <v>2.3139434255079001</v>
          </cell>
          <cell r="C4">
            <v>2.774852414653846</v>
          </cell>
        </row>
        <row r="5">
          <cell r="A5" t="str">
            <v>GHA15</v>
          </cell>
          <cell r="B5">
            <v>3.5205974911016953</v>
          </cell>
          <cell r="C5">
            <v>3.3575066169902912</v>
          </cell>
        </row>
        <row r="6">
          <cell r="A6" t="str">
            <v>GHA16</v>
          </cell>
          <cell r="B6">
            <v>2.5724240151245548</v>
          </cell>
          <cell r="C6">
            <v>2.8923845191103381</v>
          </cell>
        </row>
        <row r="7">
          <cell r="A7" t="str">
            <v>GHA21</v>
          </cell>
          <cell r="B7">
            <v>2.2979646158823526</v>
          </cell>
          <cell r="C7">
            <v>2.6237240840053047</v>
          </cell>
        </row>
        <row r="8">
          <cell r="A8" t="str">
            <v>GHA20</v>
          </cell>
          <cell r="B8">
            <v>3.0619250864694472</v>
          </cell>
          <cell r="C8">
            <v>3.3346063406250002</v>
          </cell>
        </row>
        <row r="9">
          <cell r="A9" t="str">
            <v>GHA22</v>
          </cell>
          <cell r="B9">
            <v>1.9022282392933616</v>
          </cell>
          <cell r="C9">
            <v>2.1384445940652816</v>
          </cell>
        </row>
        <row r="10">
          <cell r="A10" t="str">
            <v>GHA28</v>
          </cell>
          <cell r="B10">
            <v>2.208820575330396</v>
          </cell>
          <cell r="C10">
            <v>2.6859634330860533</v>
          </cell>
        </row>
        <row r="11">
          <cell r="A11" t="str">
            <v>GHA33</v>
          </cell>
          <cell r="B11">
            <v>2.5915962386051081</v>
          </cell>
          <cell r="C11">
            <v>2.7069864967145789</v>
          </cell>
        </row>
        <row r="12">
          <cell r="A12" t="str">
            <v>GHA29</v>
          </cell>
          <cell r="B12">
            <v>2.9448013389366934</v>
          </cell>
          <cell r="C12">
            <v>3.1232480325141778</v>
          </cell>
        </row>
        <row r="13">
          <cell r="A13" t="str">
            <v>GHA30</v>
          </cell>
          <cell r="B13">
            <v>2.592350159602649</v>
          </cell>
          <cell r="C13">
            <v>2.6505337754456053</v>
          </cell>
        </row>
        <row r="14">
          <cell r="A14" t="str">
            <v>GHA31</v>
          </cell>
          <cell r="B14">
            <v>2.135067715679591</v>
          </cell>
          <cell r="C14">
            <v>2.3410257007281556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HeelRaisePre</v>
          </cell>
          <cell r="C1" t="str">
            <v>HeelRaisePost</v>
          </cell>
          <cell r="N1" t="str">
            <v>Combo Movement Pre</v>
          </cell>
          <cell r="O1" t="str">
            <v>Combo Movement Post</v>
          </cell>
        </row>
        <row r="2">
          <cell r="A2" t="str">
            <v>GHA03</v>
          </cell>
          <cell r="B2">
            <v>16</v>
          </cell>
          <cell r="C2">
            <v>16</v>
          </cell>
          <cell r="M2" t="str">
            <v>GHA03</v>
          </cell>
          <cell r="N2">
            <v>1.2074666666666662</v>
          </cell>
          <cell r="O2">
            <v>1.2033966480446927</v>
          </cell>
        </row>
        <row r="3">
          <cell r="A3" t="str">
            <v>GHA07</v>
          </cell>
          <cell r="B3">
            <v>12</v>
          </cell>
          <cell r="C3">
            <v>15</v>
          </cell>
          <cell r="M3" t="str">
            <v>GHA07</v>
          </cell>
          <cell r="N3">
            <v>1.5781333333333332</v>
          </cell>
          <cell r="O3">
            <v>1.953608938547486</v>
          </cell>
        </row>
        <row r="4">
          <cell r="A4" t="str">
            <v>GHA13</v>
          </cell>
          <cell r="B4">
            <v>9</v>
          </cell>
          <cell r="C4">
            <v>10</v>
          </cell>
          <cell r="M4" t="str">
            <v>GHA13</v>
          </cell>
          <cell r="N4">
            <v>1.6890666666666667</v>
          </cell>
          <cell r="O4">
            <v>1.4383815028901734</v>
          </cell>
        </row>
        <row r="5">
          <cell r="A5" t="str">
            <v>GHA15</v>
          </cell>
          <cell r="B5">
            <v>13</v>
          </cell>
          <cell r="C5">
            <v>15</v>
          </cell>
          <cell r="M5" t="str">
            <v>GHA15</v>
          </cell>
          <cell r="N5">
            <v>1.5198666666666667</v>
          </cell>
          <cell r="O5">
            <v>1.2274682080924855</v>
          </cell>
        </row>
        <row r="6">
          <cell r="A6" t="str">
            <v>GHA16</v>
          </cell>
          <cell r="B6">
            <v>10</v>
          </cell>
          <cell r="C6">
            <v>15</v>
          </cell>
          <cell r="M6" t="str">
            <v>GHA16</v>
          </cell>
          <cell r="N6">
            <v>1.3081333333333331</v>
          </cell>
          <cell r="O6">
            <v>1.4806473988439306</v>
          </cell>
        </row>
        <row r="7">
          <cell r="A7" t="str">
            <v>GHA21</v>
          </cell>
          <cell r="B7">
            <v>16</v>
          </cell>
          <cell r="C7">
            <v>16</v>
          </cell>
          <cell r="M7" t="str">
            <v>GHA21</v>
          </cell>
          <cell r="N7">
            <v>1.4337333333333333</v>
          </cell>
          <cell r="O7">
            <v>1.2131791907514451</v>
          </cell>
        </row>
        <row r="8">
          <cell r="A8" t="str">
            <v>GHA20</v>
          </cell>
          <cell r="B8">
            <v>16</v>
          </cell>
          <cell r="C8">
            <v>16</v>
          </cell>
          <cell r="M8" t="str">
            <v>GHA20</v>
          </cell>
          <cell r="N8">
            <v>1.1798843930635838</v>
          </cell>
          <cell r="O8">
            <v>1.1726666666666667</v>
          </cell>
        </row>
        <row r="9">
          <cell r="A9" t="str">
            <v>GHA22</v>
          </cell>
          <cell r="B9">
            <v>12</v>
          </cell>
          <cell r="C9">
            <v>13</v>
          </cell>
          <cell r="M9" t="str">
            <v>GHA22</v>
          </cell>
          <cell r="N9">
            <v>1.4838381502890172</v>
          </cell>
          <cell r="O9">
            <v>1.1909333333333332</v>
          </cell>
        </row>
        <row r="10">
          <cell r="A10" t="str">
            <v>GHA28</v>
          </cell>
          <cell r="B10">
            <v>14</v>
          </cell>
          <cell r="C10">
            <v>16</v>
          </cell>
          <cell r="M10" t="str">
            <v>GHA28</v>
          </cell>
          <cell r="N10">
            <v>1.6270982658959539</v>
          </cell>
          <cell r="O10">
            <v>1.6771999999999998</v>
          </cell>
        </row>
        <row r="11">
          <cell r="A11" t="str">
            <v>GHA33</v>
          </cell>
          <cell r="B11">
            <v>10</v>
          </cell>
          <cell r="C11">
            <v>12</v>
          </cell>
          <cell r="M11" t="str">
            <v>GHA33</v>
          </cell>
          <cell r="N11">
            <v>1.9047398843930634</v>
          </cell>
          <cell r="O11">
            <v>2.1084000000000005</v>
          </cell>
        </row>
        <row r="12">
          <cell r="A12" t="str">
            <v>GHA29</v>
          </cell>
          <cell r="B12">
            <v>16</v>
          </cell>
          <cell r="C12">
            <v>16</v>
          </cell>
          <cell r="M12" t="str">
            <v>GHA29</v>
          </cell>
          <cell r="N12">
            <v>1.6905433526011562</v>
          </cell>
          <cell r="O12">
            <v>1.5364</v>
          </cell>
        </row>
        <row r="13">
          <cell r="A13" t="str">
            <v>GHA30</v>
          </cell>
          <cell r="B13">
            <v>16</v>
          </cell>
          <cell r="C13">
            <v>16</v>
          </cell>
          <cell r="M13" t="str">
            <v>GHA30</v>
          </cell>
          <cell r="N13">
            <v>1.8705202312138731</v>
          </cell>
          <cell r="O13">
            <v>1.6070666666666664</v>
          </cell>
        </row>
        <row r="14">
          <cell r="A14" t="str">
            <v>GHA31</v>
          </cell>
          <cell r="B14">
            <v>16</v>
          </cell>
          <cell r="C14">
            <v>16</v>
          </cell>
          <cell r="M14" t="str">
            <v>GHA31</v>
          </cell>
          <cell r="N14">
            <v>2.2246473988439304</v>
          </cell>
          <cell r="O14">
            <v>1.932666666666667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rthotoolkit.com/sf-12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31"/>
  <sheetViews>
    <sheetView workbookViewId="0">
      <pane xSplit="1" topLeftCell="N1" activePane="topRight" state="frozen"/>
      <selection pane="topRight" activeCell="A2" sqref="A2:A15"/>
    </sheetView>
  </sheetViews>
  <sheetFormatPr defaultRowHeight="15" x14ac:dyDescent="0.25"/>
  <cols>
    <col min="1" max="1" width="33.7109375" style="15" customWidth="1"/>
    <col min="2" max="2" width="17.42578125" style="15" customWidth="1"/>
    <col min="3" max="13" width="19.85546875" style="15" customWidth="1"/>
    <col min="14" max="16" width="19.85546875" style="17" customWidth="1"/>
    <col min="17" max="17" width="12.7109375" style="17" bestFit="1" customWidth="1"/>
    <col min="18" max="22" width="9.140625" style="17"/>
    <col min="26" max="26" width="12" customWidth="1"/>
    <col min="27" max="27" width="14.140625" style="234" bestFit="1" customWidth="1"/>
    <col min="28" max="28" width="15" style="234" bestFit="1" customWidth="1"/>
    <col min="29" max="29" width="8.28515625" style="234" customWidth="1"/>
    <col min="30" max="31" width="14.85546875" style="234" customWidth="1"/>
    <col min="32" max="32" width="9.140625" style="234"/>
    <col min="33" max="34" width="10.7109375" style="234" customWidth="1"/>
    <col min="37" max="38" width="19.7109375" customWidth="1"/>
  </cols>
  <sheetData>
    <row r="1" spans="1:34" x14ac:dyDescent="0.25">
      <c r="A1" s="15" t="s">
        <v>0</v>
      </c>
      <c r="B1" s="15" t="s">
        <v>1</v>
      </c>
      <c r="C1" s="15" t="s">
        <v>2</v>
      </c>
      <c r="D1" s="15" t="s">
        <v>27</v>
      </c>
      <c r="E1" s="15" t="s">
        <v>157</v>
      </c>
      <c r="F1" s="15" t="s">
        <v>26</v>
      </c>
      <c r="H1" s="15" t="s">
        <v>149</v>
      </c>
      <c r="I1" s="15" t="s">
        <v>434</v>
      </c>
      <c r="J1" s="15" t="s">
        <v>150</v>
      </c>
      <c r="K1" s="15" t="s">
        <v>435</v>
      </c>
      <c r="L1" s="15" t="s">
        <v>163</v>
      </c>
      <c r="N1" s="15" t="s">
        <v>21</v>
      </c>
      <c r="O1" s="15" t="s">
        <v>22</v>
      </c>
      <c r="P1" s="15" t="s">
        <v>23</v>
      </c>
      <c r="R1" s="142" t="s">
        <v>292</v>
      </c>
      <c r="S1" s="142" t="s">
        <v>293</v>
      </c>
      <c r="T1" s="17" t="s">
        <v>23</v>
      </c>
      <c r="V1" s="142" t="s">
        <v>294</v>
      </c>
      <c r="W1" s="142" t="s">
        <v>295</v>
      </c>
      <c r="X1" s="146" t="s">
        <v>23</v>
      </c>
      <c r="AA1" s="146" t="s">
        <v>490</v>
      </c>
      <c r="AB1" s="146" t="s">
        <v>491</v>
      </c>
      <c r="AC1" s="146"/>
      <c r="AD1" s="146" t="s">
        <v>492</v>
      </c>
      <c r="AE1" s="146" t="s">
        <v>493</v>
      </c>
      <c r="AG1" s="234" t="s">
        <v>488</v>
      </c>
      <c r="AH1" s="234" t="s">
        <v>489</v>
      </c>
    </row>
    <row r="2" spans="1:34" x14ac:dyDescent="0.25">
      <c r="A2" s="15" t="s">
        <v>11</v>
      </c>
      <c r="B2" s="15" t="s">
        <v>28</v>
      </c>
      <c r="C2" s="15">
        <v>1</v>
      </c>
      <c r="D2" s="15">
        <v>80</v>
      </c>
      <c r="E2" s="15">
        <v>60.5</v>
      </c>
      <c r="F2" s="15">
        <f>E2*0.0254</f>
        <v>1.5367</v>
      </c>
      <c r="H2" s="15">
        <v>116.6</v>
      </c>
      <c r="I2" s="15">
        <f>H2/2.205</f>
        <v>52.879818594104307</v>
      </c>
      <c r="J2" s="15">
        <v>114.4</v>
      </c>
      <c r="K2" s="15">
        <f>J2/2.205</f>
        <v>51.882086167800452</v>
      </c>
      <c r="L2" s="15">
        <f>(K2-I2)/I2*100</f>
        <v>-1.8867924528301896</v>
      </c>
      <c r="N2" s="15">
        <v>22.4</v>
      </c>
      <c r="O2" s="15">
        <v>22</v>
      </c>
      <c r="P2" s="15">
        <f t="shared" ref="P2:P15" si="0">(O2-N2)/N2*100</f>
        <v>-1.7857142857142794</v>
      </c>
      <c r="R2" s="32">
        <v>33.200000000000003</v>
      </c>
      <c r="S2" s="32">
        <v>33.1</v>
      </c>
      <c r="T2" s="17">
        <f t="shared" ref="T2:T15" si="1">(S2-R2)/R2*100</f>
        <v>-0.30120481927711268</v>
      </c>
      <c r="V2" s="145">
        <v>88.8</v>
      </c>
      <c r="W2" s="145">
        <v>86.9</v>
      </c>
      <c r="X2">
        <f t="shared" ref="X2:X15" si="2">(W2-V2)/V2*100</f>
        <v>-2.1396396396396304</v>
      </c>
      <c r="AA2" s="234">
        <v>155</v>
      </c>
      <c r="AB2" s="234">
        <v>168</v>
      </c>
      <c r="AD2" s="234">
        <v>61</v>
      </c>
      <c r="AE2" s="234">
        <v>62</v>
      </c>
      <c r="AG2" s="234">
        <v>90</v>
      </c>
      <c r="AH2" s="234">
        <v>83</v>
      </c>
    </row>
    <row r="3" spans="1:34" x14ac:dyDescent="0.25">
      <c r="A3" s="15" t="s">
        <v>10</v>
      </c>
      <c r="B3" s="15" t="s">
        <v>29</v>
      </c>
      <c r="C3" s="15">
        <v>2</v>
      </c>
      <c r="D3" s="15">
        <v>68</v>
      </c>
      <c r="E3" s="15">
        <v>66.3</v>
      </c>
      <c r="F3" s="15">
        <f t="shared" ref="F3:F15" si="3">E3*0.0254</f>
        <v>1.6840199999999999</v>
      </c>
      <c r="H3" s="15">
        <v>189.3</v>
      </c>
      <c r="I3" s="15">
        <f t="shared" ref="I3:I16" si="4">H3/2.205</f>
        <v>85.850340136054427</v>
      </c>
      <c r="J3" s="15">
        <v>189.9</v>
      </c>
      <c r="K3" s="15">
        <f t="shared" ref="K3:K15" si="5">J3/2.205</f>
        <v>86.122448979591837</v>
      </c>
      <c r="L3" s="15">
        <f t="shared" ref="L3:L15" si="6">(K3-I3)/I3*100</f>
        <v>0.31695721077653927</v>
      </c>
      <c r="N3" s="15">
        <v>30.3</v>
      </c>
      <c r="O3" s="15">
        <v>30.4</v>
      </c>
      <c r="P3" s="15">
        <f t="shared" si="0"/>
        <v>0.33003300330032304</v>
      </c>
      <c r="R3" s="17">
        <v>25</v>
      </c>
      <c r="S3" s="17">
        <v>27.3</v>
      </c>
      <c r="T3" s="17">
        <f t="shared" si="1"/>
        <v>9.2000000000000028</v>
      </c>
      <c r="V3" s="145">
        <v>101.4</v>
      </c>
      <c r="W3" s="145">
        <v>109.2</v>
      </c>
      <c r="X3" s="2">
        <f t="shared" si="2"/>
        <v>7.692307692307689</v>
      </c>
      <c r="AA3" s="234">
        <v>148</v>
      </c>
      <c r="AB3" s="234">
        <v>150</v>
      </c>
      <c r="AD3" s="234">
        <v>74</v>
      </c>
      <c r="AE3" s="234">
        <v>89</v>
      </c>
      <c r="AG3" s="234">
        <v>79</v>
      </c>
      <c r="AH3" s="234">
        <v>69</v>
      </c>
    </row>
    <row r="4" spans="1:34" x14ac:dyDescent="0.25">
      <c r="A4" s="15" t="s">
        <v>12</v>
      </c>
      <c r="B4" s="15" t="s">
        <v>30</v>
      </c>
      <c r="C4" s="15">
        <v>1</v>
      </c>
      <c r="D4" s="15">
        <v>71</v>
      </c>
      <c r="E4" s="15">
        <v>65.900000000000006</v>
      </c>
      <c r="F4" s="15">
        <f t="shared" si="3"/>
        <v>1.6738600000000001</v>
      </c>
      <c r="H4" s="15">
        <v>195.6</v>
      </c>
      <c r="I4" s="15">
        <f t="shared" si="4"/>
        <v>88.707482993197274</v>
      </c>
      <c r="J4" s="15">
        <v>192.3</v>
      </c>
      <c r="K4" s="15">
        <f t="shared" si="5"/>
        <v>87.210884353741505</v>
      </c>
      <c r="L4" s="15">
        <f t="shared" si="6"/>
        <v>-1.6871165644171631</v>
      </c>
      <c r="N4" s="15">
        <v>31.7</v>
      </c>
      <c r="O4" s="15">
        <v>31.1</v>
      </c>
      <c r="P4" s="15">
        <f t="shared" si="0"/>
        <v>-1.8927444794952615</v>
      </c>
      <c r="R4" s="17">
        <v>43.8</v>
      </c>
      <c r="S4" s="17">
        <v>44.7</v>
      </c>
      <c r="T4" s="17">
        <f t="shared" si="1"/>
        <v>2.0547945205479583</v>
      </c>
      <c r="V4" s="148">
        <v>209.1</v>
      </c>
      <c r="W4" s="148">
        <v>213.6</v>
      </c>
      <c r="X4" s="2">
        <f t="shared" si="2"/>
        <v>2.1520803443328553</v>
      </c>
      <c r="AA4" s="234">
        <v>114</v>
      </c>
      <c r="AB4" s="234">
        <v>117</v>
      </c>
      <c r="AD4" s="234">
        <v>60</v>
      </c>
      <c r="AE4" s="234">
        <v>64</v>
      </c>
      <c r="AG4" s="234">
        <v>60</v>
      </c>
      <c r="AH4" s="234">
        <v>53</v>
      </c>
    </row>
    <row r="5" spans="1:34" s="27" customFormat="1" x14ac:dyDescent="0.25">
      <c r="A5" s="26" t="s">
        <v>13</v>
      </c>
      <c r="B5" s="26" t="s">
        <v>31</v>
      </c>
      <c r="C5" s="26">
        <v>1</v>
      </c>
      <c r="D5" s="26">
        <v>65</v>
      </c>
      <c r="E5" s="26">
        <v>59.1</v>
      </c>
      <c r="F5" s="15">
        <f t="shared" si="3"/>
        <v>1.5011399999999999</v>
      </c>
      <c r="G5" s="26"/>
      <c r="H5" s="26">
        <v>132.9</v>
      </c>
      <c r="I5" s="15">
        <f t="shared" si="4"/>
        <v>60.272108843537417</v>
      </c>
      <c r="J5" s="26">
        <v>130</v>
      </c>
      <c r="K5" s="15">
        <f t="shared" si="5"/>
        <v>58.956916099773238</v>
      </c>
      <c r="L5" s="15">
        <f t="shared" si="6"/>
        <v>-2.1820917983446306</v>
      </c>
      <c r="M5" s="26"/>
      <c r="N5" s="15">
        <v>26.8</v>
      </c>
      <c r="O5" s="15">
        <v>26.2</v>
      </c>
      <c r="P5" s="15">
        <f t="shared" si="0"/>
        <v>-2.2388059701492589</v>
      </c>
      <c r="Q5" s="32"/>
      <c r="R5" s="17">
        <v>47.2</v>
      </c>
      <c r="S5" s="17">
        <v>45.7</v>
      </c>
      <c r="T5" s="17">
        <f t="shared" si="1"/>
        <v>-3.1779661016949152</v>
      </c>
      <c r="V5" s="145">
        <v>176.6</v>
      </c>
      <c r="W5" s="145">
        <v>166.3</v>
      </c>
      <c r="X5" s="2">
        <f t="shared" si="2"/>
        <v>-5.8323895809739428</v>
      </c>
      <c r="AA5" s="26">
        <v>121</v>
      </c>
      <c r="AB5" s="26">
        <v>124</v>
      </c>
      <c r="AC5" s="26"/>
      <c r="AD5" s="26">
        <v>76</v>
      </c>
      <c r="AE5" s="26">
        <v>71</v>
      </c>
      <c r="AF5" s="26"/>
      <c r="AG5" s="26">
        <v>89</v>
      </c>
      <c r="AH5" s="26">
        <v>78</v>
      </c>
    </row>
    <row r="6" spans="1:34" s="27" customFormat="1" x14ac:dyDescent="0.25">
      <c r="A6" s="26" t="s">
        <v>14</v>
      </c>
      <c r="B6" s="26" t="s">
        <v>32</v>
      </c>
      <c r="C6" s="26">
        <v>2</v>
      </c>
      <c r="D6" s="26">
        <v>66</v>
      </c>
      <c r="E6" s="26">
        <v>68.900000000000006</v>
      </c>
      <c r="F6" s="15">
        <f t="shared" si="3"/>
        <v>1.7500600000000002</v>
      </c>
      <c r="G6" s="26"/>
      <c r="H6" s="26">
        <v>212.4</v>
      </c>
      <c r="I6" s="15">
        <f t="shared" si="4"/>
        <v>96.326530612244895</v>
      </c>
      <c r="J6" s="26">
        <v>216.3</v>
      </c>
      <c r="K6" s="15">
        <f t="shared" si="5"/>
        <v>98.095238095238102</v>
      </c>
      <c r="L6" s="15">
        <f t="shared" si="6"/>
        <v>1.836158192090406</v>
      </c>
      <c r="M6" s="26"/>
      <c r="N6" s="15">
        <v>31.5</v>
      </c>
      <c r="O6" s="15">
        <v>32</v>
      </c>
      <c r="P6" s="15">
        <f t="shared" si="0"/>
        <v>1.5873015873015872</v>
      </c>
      <c r="Q6" s="32"/>
      <c r="R6" s="17">
        <v>27.1</v>
      </c>
      <c r="S6" s="17">
        <v>28.1</v>
      </c>
      <c r="T6" s="17">
        <f t="shared" si="1"/>
        <v>3.6900369003690034</v>
      </c>
      <c r="V6" s="145">
        <v>117.8</v>
      </c>
      <c r="W6" s="145">
        <v>122.9</v>
      </c>
      <c r="X6" s="2">
        <f t="shared" si="2"/>
        <v>4.3293718166383774</v>
      </c>
      <c r="AA6" s="26">
        <v>127</v>
      </c>
      <c r="AB6" s="26">
        <v>141</v>
      </c>
      <c r="AC6" s="26"/>
      <c r="AD6" s="26">
        <v>88</v>
      </c>
      <c r="AE6" s="26">
        <v>81</v>
      </c>
      <c r="AF6" s="26"/>
      <c r="AG6" s="26">
        <v>81</v>
      </c>
      <c r="AH6" s="26">
        <v>85</v>
      </c>
    </row>
    <row r="7" spans="1:34" s="27" customFormat="1" x14ac:dyDescent="0.25">
      <c r="A7" s="26" t="s">
        <v>15</v>
      </c>
      <c r="B7" s="26" t="s">
        <v>33</v>
      </c>
      <c r="C7" s="26">
        <v>1</v>
      </c>
      <c r="D7" s="26">
        <v>67</v>
      </c>
      <c r="E7" s="26">
        <v>64.3</v>
      </c>
      <c r="F7" s="15">
        <f t="shared" si="3"/>
        <v>1.6332199999999999</v>
      </c>
      <c r="G7" s="26"/>
      <c r="H7" s="26">
        <v>196.7</v>
      </c>
      <c r="I7" s="15">
        <f t="shared" si="4"/>
        <v>89.206349206349202</v>
      </c>
      <c r="J7" s="26">
        <v>201.2</v>
      </c>
      <c r="K7" s="15">
        <f t="shared" si="5"/>
        <v>91.247165532879805</v>
      </c>
      <c r="L7" s="15">
        <f t="shared" si="6"/>
        <v>2.2877478393492527</v>
      </c>
      <c r="M7" s="26"/>
      <c r="N7" s="15">
        <v>33.5</v>
      </c>
      <c r="O7" s="15">
        <v>34.200000000000003</v>
      </c>
      <c r="P7" s="15">
        <f t="shared" si="0"/>
        <v>2.0895522388059784</v>
      </c>
      <c r="Q7" s="32"/>
      <c r="R7" s="17">
        <v>44.2</v>
      </c>
      <c r="S7" s="17">
        <v>45.5</v>
      </c>
      <c r="T7" s="17">
        <f t="shared" si="1"/>
        <v>2.9411764705882288</v>
      </c>
      <c r="V7" s="145">
        <v>190.9</v>
      </c>
      <c r="W7" s="145">
        <v>209.3</v>
      </c>
      <c r="X7" s="2">
        <f t="shared" si="2"/>
        <v>9.6385542168674725</v>
      </c>
      <c r="AA7" s="26">
        <v>138</v>
      </c>
      <c r="AB7" s="26">
        <v>139</v>
      </c>
      <c r="AC7" s="26"/>
      <c r="AD7" s="26">
        <v>69</v>
      </c>
      <c r="AE7" s="26">
        <v>70</v>
      </c>
      <c r="AF7" s="26"/>
      <c r="AG7" s="26">
        <v>68</v>
      </c>
      <c r="AH7" s="26">
        <v>67</v>
      </c>
    </row>
    <row r="8" spans="1:34" s="27" customFormat="1" x14ac:dyDescent="0.25">
      <c r="A8" s="26" t="s">
        <v>16</v>
      </c>
      <c r="B8" s="26" t="s">
        <v>34</v>
      </c>
      <c r="C8" s="26">
        <v>2</v>
      </c>
      <c r="D8" s="26">
        <v>80</v>
      </c>
      <c r="E8" s="26">
        <v>66.8</v>
      </c>
      <c r="F8" s="15">
        <f t="shared" si="3"/>
        <v>1.6967199999999998</v>
      </c>
      <c r="G8" s="26"/>
      <c r="H8" s="26">
        <v>187</v>
      </c>
      <c r="I8" s="15">
        <f t="shared" si="4"/>
        <v>84.807256235827666</v>
      </c>
      <c r="J8" s="26">
        <v>188.5</v>
      </c>
      <c r="K8" s="15">
        <f t="shared" si="5"/>
        <v>85.487528344671205</v>
      </c>
      <c r="L8" s="15">
        <f t="shared" si="6"/>
        <v>0.80213903743315706</v>
      </c>
      <c r="M8" s="26"/>
      <c r="N8" s="15">
        <v>29.5</v>
      </c>
      <c r="O8" s="15">
        <v>29.7</v>
      </c>
      <c r="P8" s="15">
        <f t="shared" si="0"/>
        <v>0.67796610169491278</v>
      </c>
      <c r="Q8" s="32"/>
      <c r="R8" s="61" t="s">
        <v>297</v>
      </c>
      <c r="S8" s="61" t="s">
        <v>297</v>
      </c>
      <c r="T8" s="61" t="s">
        <v>297</v>
      </c>
      <c r="V8" s="61" t="s">
        <v>297</v>
      </c>
      <c r="W8" s="61" t="s">
        <v>297</v>
      </c>
      <c r="X8" s="61" t="s">
        <v>297</v>
      </c>
      <c r="AA8" s="26">
        <v>157</v>
      </c>
      <c r="AB8" s="26">
        <v>129</v>
      </c>
      <c r="AC8" s="26"/>
      <c r="AD8" s="26">
        <v>66</v>
      </c>
      <c r="AE8" s="26">
        <v>89</v>
      </c>
      <c r="AF8" s="26"/>
      <c r="AG8" s="26">
        <v>64</v>
      </c>
      <c r="AH8" s="26">
        <v>70</v>
      </c>
    </row>
    <row r="9" spans="1:34" s="27" customFormat="1" x14ac:dyDescent="0.25">
      <c r="A9" s="26" t="s">
        <v>112</v>
      </c>
      <c r="B9" s="26" t="s">
        <v>127</v>
      </c>
      <c r="C9" s="26">
        <v>1</v>
      </c>
      <c r="D9" s="26">
        <v>78</v>
      </c>
      <c r="E9" s="26">
        <v>63.8</v>
      </c>
      <c r="F9" s="15">
        <f t="shared" si="3"/>
        <v>1.62052</v>
      </c>
      <c r="G9" s="26"/>
      <c r="H9" s="26">
        <v>103.1</v>
      </c>
      <c r="I9" s="15">
        <f t="shared" si="4"/>
        <v>46.75736961451247</v>
      </c>
      <c r="J9" s="26">
        <v>105.6</v>
      </c>
      <c r="K9" s="15">
        <f t="shared" si="5"/>
        <v>47.89115646258503</v>
      </c>
      <c r="L9" s="15">
        <f t="shared" si="6"/>
        <v>2.424830261881664</v>
      </c>
      <c r="M9" s="26"/>
      <c r="N9" s="15">
        <v>17.8</v>
      </c>
      <c r="O9" s="15">
        <v>18.2</v>
      </c>
      <c r="P9" s="15">
        <f t="shared" si="0"/>
        <v>2.2471910112359472</v>
      </c>
      <c r="Q9" s="32"/>
      <c r="R9" s="17">
        <v>19.2</v>
      </c>
      <c r="S9" s="17">
        <v>22.2</v>
      </c>
      <c r="T9" s="17">
        <f t="shared" si="1"/>
        <v>15.625</v>
      </c>
      <c r="V9" s="145">
        <v>46.6</v>
      </c>
      <c r="W9" s="145">
        <v>55</v>
      </c>
      <c r="X9" s="2">
        <f t="shared" si="2"/>
        <v>18.02575107296137</v>
      </c>
      <c r="AA9" s="26">
        <v>122</v>
      </c>
      <c r="AB9" s="26">
        <v>141</v>
      </c>
      <c r="AC9" s="26"/>
      <c r="AD9" s="26">
        <v>62</v>
      </c>
      <c r="AE9" s="26">
        <v>63</v>
      </c>
      <c r="AF9" s="26"/>
      <c r="AG9" s="26">
        <v>68</v>
      </c>
      <c r="AH9" s="26">
        <v>57</v>
      </c>
    </row>
    <row r="10" spans="1:34" s="27" customFormat="1" x14ac:dyDescent="0.25">
      <c r="A10" s="26" t="s">
        <v>113</v>
      </c>
      <c r="B10" s="26" t="s">
        <v>128</v>
      </c>
      <c r="C10" s="26">
        <v>1</v>
      </c>
      <c r="D10" s="26">
        <v>67</v>
      </c>
      <c r="E10" s="26">
        <v>63.5</v>
      </c>
      <c r="F10" s="15">
        <f t="shared" si="3"/>
        <v>1.6129</v>
      </c>
      <c r="G10" s="26"/>
      <c r="H10" s="26">
        <v>140.1</v>
      </c>
      <c r="I10" s="15">
        <f t="shared" si="4"/>
        <v>63.537414965986393</v>
      </c>
      <c r="J10" s="26">
        <v>134.80000000000001</v>
      </c>
      <c r="K10" s="15">
        <f t="shared" si="5"/>
        <v>61.133786848072567</v>
      </c>
      <c r="L10" s="15">
        <f t="shared" si="6"/>
        <v>-3.7830121341898546</v>
      </c>
      <c r="M10" s="26"/>
      <c r="N10" s="15">
        <v>24.4</v>
      </c>
      <c r="O10" s="15">
        <v>23.5</v>
      </c>
      <c r="P10" s="15">
        <f t="shared" si="0"/>
        <v>-3.688524590163929</v>
      </c>
      <c r="Q10" s="32"/>
      <c r="R10" s="17">
        <v>36.4</v>
      </c>
      <c r="S10" s="17">
        <v>31.3</v>
      </c>
      <c r="T10" s="17">
        <f t="shared" si="1"/>
        <v>-14.010989010989006</v>
      </c>
      <c r="V10" s="145">
        <v>117.5</v>
      </c>
      <c r="W10" s="145">
        <v>86.6</v>
      </c>
      <c r="X10" s="2">
        <f t="shared" si="2"/>
        <v>-26.297872340425538</v>
      </c>
      <c r="AA10" s="26">
        <v>129</v>
      </c>
      <c r="AB10" s="26">
        <v>118</v>
      </c>
      <c r="AC10" s="26"/>
      <c r="AD10" s="26">
        <v>68</v>
      </c>
      <c r="AE10" s="26">
        <v>62</v>
      </c>
      <c r="AF10" s="26"/>
      <c r="AG10" s="26">
        <v>73</v>
      </c>
      <c r="AH10" s="26">
        <v>66</v>
      </c>
    </row>
    <row r="11" spans="1:34" s="27" customFormat="1" x14ac:dyDescent="0.25">
      <c r="A11" s="26" t="s">
        <v>114</v>
      </c>
      <c r="B11" s="26" t="s">
        <v>129</v>
      </c>
      <c r="C11" s="26">
        <v>2</v>
      </c>
      <c r="D11" s="26">
        <v>72</v>
      </c>
      <c r="E11" s="26">
        <v>69.8</v>
      </c>
      <c r="F11" s="15">
        <f t="shared" si="3"/>
        <v>1.7729199999999998</v>
      </c>
      <c r="G11" s="26"/>
      <c r="H11" s="26">
        <v>204.3</v>
      </c>
      <c r="I11" s="15">
        <f t="shared" si="4"/>
        <v>92.653061224489804</v>
      </c>
      <c r="J11" s="26">
        <v>202.2</v>
      </c>
      <c r="K11" s="15">
        <f t="shared" si="5"/>
        <v>91.700680272108841</v>
      </c>
      <c r="L11" s="15">
        <f t="shared" si="6"/>
        <v>-1.0279001468428897</v>
      </c>
      <c r="M11" s="26"/>
      <c r="N11" s="15">
        <v>29.5</v>
      </c>
      <c r="O11" s="15">
        <v>29.2</v>
      </c>
      <c r="P11" s="15">
        <f t="shared" si="0"/>
        <v>-1.0169491525423753</v>
      </c>
      <c r="Q11" s="32"/>
      <c r="R11" s="17">
        <v>28.5</v>
      </c>
      <c r="S11" s="17">
        <v>25.3</v>
      </c>
      <c r="T11" s="17">
        <f t="shared" si="1"/>
        <v>-11.228070175438594</v>
      </c>
      <c r="V11" s="145">
        <v>121.8</v>
      </c>
      <c r="W11" s="145">
        <v>111.4</v>
      </c>
      <c r="X11" s="2">
        <f t="shared" si="2"/>
        <v>-8.5385878489326696</v>
      </c>
      <c r="AA11" s="26">
        <v>104</v>
      </c>
      <c r="AB11" s="26">
        <v>119</v>
      </c>
      <c r="AC11" s="26"/>
      <c r="AD11" s="26">
        <v>59</v>
      </c>
      <c r="AE11" s="26">
        <v>76</v>
      </c>
      <c r="AF11" s="26"/>
      <c r="AG11" s="26">
        <v>60</v>
      </c>
      <c r="AH11" s="26">
        <v>59</v>
      </c>
    </row>
    <row r="12" spans="1:34" s="27" customFormat="1" x14ac:dyDescent="0.25">
      <c r="A12" s="26" t="s">
        <v>115</v>
      </c>
      <c r="B12" s="26" t="s">
        <v>130</v>
      </c>
      <c r="C12" s="26">
        <v>2</v>
      </c>
      <c r="D12" s="26">
        <v>60</v>
      </c>
      <c r="E12" s="26">
        <v>65.5</v>
      </c>
      <c r="F12" s="15">
        <f t="shared" si="3"/>
        <v>1.6637</v>
      </c>
      <c r="G12" s="26"/>
      <c r="H12" s="26">
        <v>203.6</v>
      </c>
      <c r="I12" s="15">
        <f t="shared" si="4"/>
        <v>92.335600907029473</v>
      </c>
      <c r="J12" s="26">
        <v>194.8</v>
      </c>
      <c r="K12" s="15">
        <f t="shared" si="5"/>
        <v>88.344671201814066</v>
      </c>
      <c r="L12" s="15">
        <f t="shared" si="6"/>
        <v>-4.3222003929272956</v>
      </c>
      <c r="M12" s="26"/>
      <c r="N12" s="15">
        <v>33.4</v>
      </c>
      <c r="O12" s="15">
        <v>31.9</v>
      </c>
      <c r="P12" s="15">
        <f t="shared" si="0"/>
        <v>-4.4910179640718564</v>
      </c>
      <c r="Q12" s="32"/>
      <c r="R12" s="17">
        <v>40.700000000000003</v>
      </c>
      <c r="S12" s="17">
        <v>38.9</v>
      </c>
      <c r="T12" s="17">
        <f t="shared" si="1"/>
        <v>-4.422604422604433</v>
      </c>
      <c r="V12" s="145">
        <v>190.9</v>
      </c>
      <c r="W12" s="145">
        <v>176.7</v>
      </c>
      <c r="X12" s="2">
        <f t="shared" si="2"/>
        <v>-7.4384494499738167</v>
      </c>
      <c r="AA12" s="26">
        <v>153</v>
      </c>
      <c r="AB12" s="26">
        <v>137</v>
      </c>
      <c r="AC12" s="26"/>
      <c r="AD12" s="26">
        <v>89</v>
      </c>
      <c r="AE12" s="26">
        <v>82</v>
      </c>
      <c r="AF12" s="26"/>
      <c r="AG12" s="26">
        <v>72</v>
      </c>
      <c r="AH12" s="26">
        <v>74</v>
      </c>
    </row>
    <row r="13" spans="1:34" s="27" customFormat="1" x14ac:dyDescent="0.25">
      <c r="A13" s="26" t="s">
        <v>117</v>
      </c>
      <c r="B13" s="26" t="s">
        <v>131</v>
      </c>
      <c r="C13" s="26">
        <v>2</v>
      </c>
      <c r="D13" s="26">
        <v>68</v>
      </c>
      <c r="E13" s="26">
        <v>69.400000000000006</v>
      </c>
      <c r="F13" s="15">
        <f t="shared" si="3"/>
        <v>1.7627600000000001</v>
      </c>
      <c r="G13" s="26"/>
      <c r="H13" s="26">
        <v>162.69999999999999</v>
      </c>
      <c r="I13" s="15">
        <f t="shared" si="4"/>
        <v>73.78684807256235</v>
      </c>
      <c r="J13" s="26">
        <v>158.69999999999999</v>
      </c>
      <c r="K13" s="15">
        <f t="shared" si="5"/>
        <v>71.97278911564625</v>
      </c>
      <c r="L13" s="15">
        <f t="shared" si="6"/>
        <v>-2.458512599877074</v>
      </c>
      <c r="M13" s="26"/>
      <c r="N13" s="15">
        <v>23.7</v>
      </c>
      <c r="O13" s="15">
        <v>23.2</v>
      </c>
      <c r="P13" s="15">
        <f t="shared" si="0"/>
        <v>-2.109704641350211</v>
      </c>
      <c r="Q13" s="32"/>
      <c r="R13" s="17">
        <v>20</v>
      </c>
      <c r="S13" s="17">
        <v>18.7</v>
      </c>
      <c r="T13" s="17">
        <f t="shared" si="1"/>
        <v>-6.5000000000000027</v>
      </c>
      <c r="V13" s="145">
        <v>68.900000000000006</v>
      </c>
      <c r="W13" s="145">
        <v>63.3</v>
      </c>
      <c r="X13" s="2">
        <f t="shared" si="2"/>
        <v>-8.127721335268518</v>
      </c>
      <c r="AA13" s="26">
        <v>123</v>
      </c>
      <c r="AB13" s="26">
        <v>111</v>
      </c>
      <c r="AC13" s="26"/>
      <c r="AD13" s="26">
        <v>65</v>
      </c>
      <c r="AE13" s="26">
        <v>57</v>
      </c>
      <c r="AF13" s="26"/>
      <c r="AG13" s="26">
        <v>73</v>
      </c>
      <c r="AH13" s="26">
        <v>69</v>
      </c>
    </row>
    <row r="14" spans="1:34" s="27" customFormat="1" x14ac:dyDescent="0.25">
      <c r="A14" s="26" t="s">
        <v>121</v>
      </c>
      <c r="B14" s="26" t="s">
        <v>132</v>
      </c>
      <c r="C14" s="26">
        <v>1</v>
      </c>
      <c r="D14" s="26">
        <v>66</v>
      </c>
      <c r="E14" s="26">
        <v>65.400000000000006</v>
      </c>
      <c r="F14" s="15">
        <f t="shared" si="3"/>
        <v>1.66116</v>
      </c>
      <c r="G14" s="26"/>
      <c r="H14" s="26">
        <v>166.1</v>
      </c>
      <c r="I14" s="15">
        <f t="shared" si="4"/>
        <v>75.328798185941039</v>
      </c>
      <c r="J14" s="26">
        <v>162.69999999999999</v>
      </c>
      <c r="K14" s="15">
        <f t="shared" si="5"/>
        <v>73.78684807256235</v>
      </c>
      <c r="L14" s="15">
        <f t="shared" si="6"/>
        <v>-2.046959662853709</v>
      </c>
      <c r="M14" s="26"/>
      <c r="N14" s="15">
        <v>27.3</v>
      </c>
      <c r="O14" s="15">
        <v>26.7</v>
      </c>
      <c r="P14" s="15">
        <f t="shared" si="0"/>
        <v>-2.1978021978022029</v>
      </c>
      <c r="Q14" s="32"/>
      <c r="R14" s="17">
        <v>39.5</v>
      </c>
      <c r="S14" s="17">
        <v>39.5</v>
      </c>
      <c r="T14" s="17">
        <f t="shared" si="1"/>
        <v>0</v>
      </c>
      <c r="V14" s="145">
        <v>154.19999999999999</v>
      </c>
      <c r="W14" s="145">
        <v>154.19999999999999</v>
      </c>
      <c r="X14" s="2">
        <f t="shared" si="2"/>
        <v>0</v>
      </c>
      <c r="AA14" s="26">
        <v>126</v>
      </c>
      <c r="AB14" s="26">
        <v>134</v>
      </c>
      <c r="AC14" s="26"/>
      <c r="AD14" s="26">
        <v>85</v>
      </c>
      <c r="AE14" s="26">
        <v>86</v>
      </c>
      <c r="AF14" s="26"/>
      <c r="AG14" s="26">
        <v>85</v>
      </c>
      <c r="AH14" s="26">
        <v>80</v>
      </c>
    </row>
    <row r="15" spans="1:34" s="27" customFormat="1" x14ac:dyDescent="0.25">
      <c r="A15" s="26" t="s">
        <v>122</v>
      </c>
      <c r="B15" s="26" t="s">
        <v>133</v>
      </c>
      <c r="C15" s="26">
        <v>2</v>
      </c>
      <c r="D15" s="26">
        <v>65</v>
      </c>
      <c r="E15" s="26">
        <v>70</v>
      </c>
      <c r="F15" s="15">
        <f t="shared" si="3"/>
        <v>1.778</v>
      </c>
      <c r="G15" s="26"/>
      <c r="H15" s="26">
        <v>234.7</v>
      </c>
      <c r="I15" s="15">
        <f t="shared" si="4"/>
        <v>106.43990929705214</v>
      </c>
      <c r="J15" s="26">
        <v>226.6</v>
      </c>
      <c r="K15" s="15">
        <f t="shared" si="5"/>
        <v>102.76643990929705</v>
      </c>
      <c r="L15" s="15">
        <f t="shared" si="6"/>
        <v>-3.4512143161482642</v>
      </c>
      <c r="M15" s="26"/>
      <c r="N15" s="15">
        <v>32.799999999999997</v>
      </c>
      <c r="O15" s="15">
        <v>31.7</v>
      </c>
      <c r="P15" s="15">
        <f t="shared" si="0"/>
        <v>-3.35365853658536</v>
      </c>
      <c r="Q15" s="32"/>
      <c r="R15" s="17">
        <v>33.9</v>
      </c>
      <c r="S15" s="17">
        <v>33.4</v>
      </c>
      <c r="T15" s="17">
        <f t="shared" si="1"/>
        <v>-1.4749262536873156</v>
      </c>
      <c r="V15" s="145">
        <v>181</v>
      </c>
      <c r="W15" s="145">
        <v>168.7</v>
      </c>
      <c r="X15" s="2">
        <f t="shared" si="2"/>
        <v>-6.7955801104972444</v>
      </c>
      <c r="AA15" s="26">
        <v>159</v>
      </c>
      <c r="AB15" s="26">
        <v>148</v>
      </c>
      <c r="AC15" s="26"/>
      <c r="AD15" s="26">
        <v>87</v>
      </c>
      <c r="AE15" s="26">
        <v>79</v>
      </c>
      <c r="AF15" s="26"/>
      <c r="AG15" s="26">
        <v>75</v>
      </c>
      <c r="AH15" s="26">
        <v>75</v>
      </c>
    </row>
    <row r="16" spans="1:34" s="34" customFormat="1" x14ac:dyDescent="0.25">
      <c r="A16" s="70" t="s">
        <v>123</v>
      </c>
      <c r="B16" s="67" t="s">
        <v>134</v>
      </c>
      <c r="C16" s="67">
        <v>2</v>
      </c>
      <c r="D16" s="68" t="s">
        <v>152</v>
      </c>
      <c r="E16" s="69" t="s">
        <v>151</v>
      </c>
      <c r="F16" s="67" t="s">
        <v>165</v>
      </c>
      <c r="G16" s="64"/>
      <c r="H16" s="68">
        <v>214.6</v>
      </c>
      <c r="I16" s="232">
        <f t="shared" si="4"/>
        <v>97.32426303854875</v>
      </c>
      <c r="J16" s="68" t="s">
        <v>152</v>
      </c>
      <c r="K16" s="69" t="s">
        <v>165</v>
      </c>
      <c r="L16" s="67"/>
      <c r="M16" s="67"/>
      <c r="N16" s="68" t="s">
        <v>154</v>
      </c>
      <c r="O16" s="69" t="s">
        <v>151</v>
      </c>
      <c r="P16" s="15"/>
      <c r="Q16" s="65"/>
      <c r="R16" s="89" t="s">
        <v>184</v>
      </c>
      <c r="S16" s="89" t="s">
        <v>184</v>
      </c>
      <c r="V16" s="89" t="s">
        <v>184</v>
      </c>
      <c r="W16" s="89" t="s">
        <v>184</v>
      </c>
      <c r="AA16" s="249"/>
      <c r="AB16" s="249"/>
      <c r="AC16" s="249"/>
      <c r="AD16" s="249"/>
      <c r="AE16" s="249"/>
      <c r="AF16" s="249"/>
      <c r="AG16" s="249"/>
      <c r="AH16" s="249"/>
    </row>
    <row r="17" spans="1:35" s="4" customFormat="1" x14ac:dyDescent="0.25">
      <c r="A17" s="20" t="s">
        <v>17</v>
      </c>
      <c r="B17" s="17"/>
      <c r="C17" s="32"/>
      <c r="D17" s="32">
        <f>AVERAGE(D2:D16)</f>
        <v>69.5</v>
      </c>
      <c r="E17" s="32">
        <f t="shared" ref="E17:F17" si="7">AVERAGE(E2:E16)</f>
        <v>65.657142857142858</v>
      </c>
      <c r="F17" s="32">
        <f t="shared" si="7"/>
        <v>1.6676914285714282</v>
      </c>
      <c r="G17" s="32"/>
      <c r="H17" s="32" t="s">
        <v>164</v>
      </c>
      <c r="I17" s="231">
        <f>AVERAGE(I2:I15)</f>
        <v>79.206349206349202</v>
      </c>
      <c r="J17" s="32" t="s">
        <v>164</v>
      </c>
      <c r="K17" s="231">
        <f>AVERAGE(K2:K15)</f>
        <v>78.328474246841594</v>
      </c>
      <c r="L17" s="33">
        <f t="shared" ref="L17" si="8">AVERAGE(L2:L16)</f>
        <v>-1.084140537635718</v>
      </c>
      <c r="M17" s="32"/>
      <c r="N17" s="32">
        <f>AVERAGE(N2:N16)</f>
        <v>28.185714285714283</v>
      </c>
      <c r="O17" s="32">
        <f>AVERAGE(O2:O16)</f>
        <v>27.857142857142851</v>
      </c>
      <c r="P17" s="32">
        <f>AVERAGE(P2:P16)</f>
        <v>-1.1316341339668561</v>
      </c>
      <c r="Q17" s="17"/>
      <c r="R17" s="17">
        <f>AVERAGE(R2:R16)</f>
        <v>33.746153846153838</v>
      </c>
      <c r="S17" s="17">
        <f>AVERAGE(S2:S16)</f>
        <v>33.361538461538458</v>
      </c>
      <c r="T17" s="33">
        <f t="shared" ref="T17:X17" si="9">AVERAGE(T2:T16)</f>
        <v>-0.58498099170662998</v>
      </c>
      <c r="U17" s="17"/>
      <c r="V17" s="17">
        <f t="shared" si="9"/>
        <v>135.80769230769232</v>
      </c>
      <c r="W17" s="17">
        <f t="shared" si="9"/>
        <v>132.62307692307692</v>
      </c>
      <c r="X17" s="17">
        <f t="shared" si="9"/>
        <v>-1.794782704815661</v>
      </c>
      <c r="Z17" s="4" t="s">
        <v>17</v>
      </c>
      <c r="AA17" s="47">
        <f>AVERAGE(AA2:AA15)</f>
        <v>134</v>
      </c>
      <c r="AB17" s="47">
        <f t="shared" ref="AB17:AH17" si="10">AVERAGE(AB2:AB15)</f>
        <v>134</v>
      </c>
      <c r="AC17" s="47"/>
      <c r="AD17" s="47">
        <f t="shared" si="10"/>
        <v>72.071428571428569</v>
      </c>
      <c r="AE17" s="47">
        <f t="shared" si="10"/>
        <v>73.642857142857139</v>
      </c>
      <c r="AF17" s="47"/>
      <c r="AG17" s="47">
        <f t="shared" si="10"/>
        <v>74.071428571428569</v>
      </c>
      <c r="AH17" s="47">
        <f t="shared" si="10"/>
        <v>70.357142857142861</v>
      </c>
      <c r="AI17" s="47">
        <f>(AH17-AG17)/AG17*100</f>
        <v>-5.0144648023143601</v>
      </c>
    </row>
    <row r="18" spans="1:35" s="4" customFormat="1" x14ac:dyDescent="0.25">
      <c r="A18" s="38" t="s">
        <v>153</v>
      </c>
      <c r="B18" s="17"/>
      <c r="C18" s="32"/>
      <c r="D18" s="32">
        <f>STDEV(D2:D16)</f>
        <v>6.0351534299532865</v>
      </c>
      <c r="E18" s="32">
        <f t="shared" ref="E18:L18" si="11">STDEV(E2:E16)</f>
        <v>3.3044758191822861</v>
      </c>
      <c r="F18" s="32">
        <f t="shared" si="11"/>
        <v>8.3933685807230082E-2</v>
      </c>
      <c r="G18" s="32"/>
      <c r="H18" s="32"/>
      <c r="I18" s="231">
        <f t="shared" si="11"/>
        <v>17.636341870689037</v>
      </c>
      <c r="J18" s="32"/>
      <c r="K18" s="231">
        <f>STDEV(K2:K15)</f>
        <v>17.503064574854026</v>
      </c>
      <c r="L18" s="32">
        <f t="shared" si="11"/>
        <v>2.2555259436323456</v>
      </c>
      <c r="M18" s="32"/>
      <c r="N18" s="32">
        <f>STDEV(N2:N16)</f>
        <v>4.6943267138859772</v>
      </c>
      <c r="O18" s="32">
        <f>STDEV(O2:O16)</f>
        <v>4.665868586911774</v>
      </c>
      <c r="P18" s="32">
        <f>STDEV(P2:P16)</f>
        <v>2.1784999328893564</v>
      </c>
      <c r="Q18" s="17"/>
      <c r="R18" s="17">
        <f>STDEV(R2:R16)</f>
        <v>9.2598249969618234</v>
      </c>
      <c r="S18" s="17">
        <f>STDEV(S2:S16)</f>
        <v>8.98967356299611</v>
      </c>
      <c r="T18" s="17">
        <f t="shared" ref="T18:X18" si="12">STDEV(T2:T16)</f>
        <v>7.891838949933808</v>
      </c>
      <c r="U18" s="17"/>
      <c r="V18" s="17">
        <f t="shared" si="12"/>
        <v>51.77728687269574</v>
      </c>
      <c r="W18" s="17">
        <f t="shared" si="12"/>
        <v>52.768348370434936</v>
      </c>
      <c r="X18" s="17">
        <f t="shared" si="12"/>
        <v>10.913105439170391</v>
      </c>
      <c r="Z18" s="4" t="s">
        <v>460</v>
      </c>
      <c r="AA18" s="47">
        <f>STDEV(AA2:AA15)</f>
        <v>17.628648013084575</v>
      </c>
      <c r="AB18" s="47">
        <f t="shared" ref="AB18:AH18" si="13">STDEV(AB2:AB15)</f>
        <v>15.600788934685816</v>
      </c>
      <c r="AC18" s="47"/>
      <c r="AD18" s="47">
        <f t="shared" si="13"/>
        <v>11.104152277513009</v>
      </c>
      <c r="AE18" s="47">
        <f t="shared" si="13"/>
        <v>10.944666019834255</v>
      </c>
      <c r="AF18" s="47"/>
      <c r="AG18" s="47">
        <f t="shared" si="13"/>
        <v>9.7937522134053374</v>
      </c>
      <c r="AH18" s="47">
        <f t="shared" si="13"/>
        <v>9.6205480641668935</v>
      </c>
    </row>
    <row r="19" spans="1:35" x14ac:dyDescent="0.25">
      <c r="A19" s="17"/>
      <c r="C19" s="26"/>
      <c r="D19" s="26"/>
      <c r="E19" s="26"/>
      <c r="F19" s="26"/>
      <c r="G19" s="26"/>
      <c r="H19" s="26" t="s">
        <v>465</v>
      </c>
      <c r="I19" s="26"/>
      <c r="J19" s="26"/>
      <c r="K19" s="26"/>
      <c r="L19" s="26"/>
      <c r="M19" s="26"/>
      <c r="N19" s="32"/>
      <c r="O19" s="32"/>
      <c r="P19" s="32"/>
    </row>
    <row r="20" spans="1:35" x14ac:dyDescent="0.2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32"/>
      <c r="O20" s="32"/>
      <c r="P20" s="32"/>
      <c r="R20" s="144"/>
      <c r="Z20" t="s">
        <v>449</v>
      </c>
      <c r="AB20" s="234">
        <v>0</v>
      </c>
      <c r="AE20" s="234">
        <v>-1.57</v>
      </c>
      <c r="AH20" s="234">
        <v>3.71</v>
      </c>
    </row>
    <row r="21" spans="1:35" x14ac:dyDescent="0.25">
      <c r="H21" s="189" t="s">
        <v>446</v>
      </c>
      <c r="I21" s="189">
        <f>(K17-I17)/I17</f>
        <v>-1.108339127234054E-2</v>
      </c>
      <c r="J21" s="189">
        <f>I21*100</f>
        <v>-1.1083391272340541</v>
      </c>
      <c r="Z21" t="s">
        <v>463</v>
      </c>
      <c r="AB21" s="234">
        <v>13.77</v>
      </c>
      <c r="AE21" s="234">
        <v>10.06</v>
      </c>
      <c r="AH21" s="234">
        <v>5.51</v>
      </c>
    </row>
    <row r="22" spans="1:35" x14ac:dyDescent="0.25">
      <c r="A22" s="67" t="s">
        <v>162</v>
      </c>
      <c r="B22" s="67"/>
    </row>
    <row r="23" spans="1:35" x14ac:dyDescent="0.25">
      <c r="A23" s="67" t="s">
        <v>183</v>
      </c>
      <c r="B23" s="67"/>
      <c r="AA23" s="234" t="s">
        <v>494</v>
      </c>
      <c r="AB23" s="234">
        <v>1</v>
      </c>
      <c r="AD23" s="234" t="s">
        <v>494</v>
      </c>
      <c r="AE23" s="234">
        <v>0.56899999999999995</v>
      </c>
      <c r="AG23" s="234" t="s">
        <v>494</v>
      </c>
      <c r="AH23" s="234">
        <v>2.5999999999999999E-2</v>
      </c>
    </row>
    <row r="24" spans="1:35" x14ac:dyDescent="0.25">
      <c r="A24" s="71" t="s">
        <v>160</v>
      </c>
      <c r="AA24" s="234" t="s">
        <v>282</v>
      </c>
      <c r="AB24" s="234">
        <f>AB20/AB21</f>
        <v>0</v>
      </c>
      <c r="AD24" s="234" t="s">
        <v>282</v>
      </c>
      <c r="AE24" s="16">
        <f>AE20/AE21</f>
        <v>-0.15606361829025844</v>
      </c>
      <c r="AG24" s="234" t="s">
        <v>282</v>
      </c>
      <c r="AH24" s="16">
        <f>AH20/AH21</f>
        <v>0.67332123411978229</v>
      </c>
    </row>
    <row r="25" spans="1:35" x14ac:dyDescent="0.25">
      <c r="A25" s="74" t="s">
        <v>3</v>
      </c>
    </row>
    <row r="26" spans="1:35" x14ac:dyDescent="0.25">
      <c r="A26" s="74"/>
    </row>
    <row r="27" spans="1:35" x14ac:dyDescent="0.25">
      <c r="A27" s="74" t="s">
        <v>158</v>
      </c>
    </row>
    <row r="28" spans="1:35" s="2" customFormat="1" x14ac:dyDescent="0.25">
      <c r="A28" s="7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7"/>
      <c r="O28" s="17"/>
      <c r="P28" s="17"/>
      <c r="Q28" s="17"/>
      <c r="R28" s="17"/>
      <c r="S28" s="17"/>
      <c r="T28" s="17"/>
      <c r="U28" s="17"/>
      <c r="V28" s="17"/>
      <c r="AA28" s="234"/>
      <c r="AB28" s="234"/>
      <c r="AC28" s="234"/>
      <c r="AD28" s="234"/>
      <c r="AE28" s="234"/>
      <c r="AF28" s="234"/>
      <c r="AG28" s="234"/>
      <c r="AH28" s="234"/>
    </row>
    <row r="29" spans="1:35" ht="30" x14ac:dyDescent="0.25">
      <c r="A29" s="74" t="s">
        <v>161</v>
      </c>
    </row>
    <row r="31" spans="1:35" x14ac:dyDescent="0.25">
      <c r="A31" s="15" t="s">
        <v>159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2"/>
  <dimension ref="A1:AF48"/>
  <sheetViews>
    <sheetView workbookViewId="0">
      <selection activeCell="H23" sqref="H23"/>
    </sheetView>
  </sheetViews>
  <sheetFormatPr defaultColWidth="9.140625" defaultRowHeight="15" x14ac:dyDescent="0.25"/>
  <cols>
    <col min="1" max="1" width="9.140625" style="19" customWidth="1"/>
    <col min="2" max="2" width="10.42578125" style="18" customWidth="1"/>
    <col min="3" max="16384" width="9.140625" style="18"/>
  </cols>
  <sheetData>
    <row r="1" spans="1:32" s="52" customFormat="1" x14ac:dyDescent="0.25">
      <c r="A1" s="53" t="s">
        <v>0</v>
      </c>
      <c r="B1" s="52" t="s">
        <v>57</v>
      </c>
      <c r="C1" s="52" t="s">
        <v>58</v>
      </c>
      <c r="D1" s="52" t="s">
        <v>23</v>
      </c>
      <c r="F1" s="52" t="s">
        <v>59</v>
      </c>
      <c r="G1" s="52" t="s">
        <v>60</v>
      </c>
      <c r="H1" s="52" t="s">
        <v>23</v>
      </c>
      <c r="J1" s="52" t="s">
        <v>61</v>
      </c>
      <c r="K1" s="52" t="s">
        <v>62</v>
      </c>
      <c r="L1" s="52" t="s">
        <v>23</v>
      </c>
      <c r="N1" s="52" t="s">
        <v>63</v>
      </c>
      <c r="O1" s="52" t="s">
        <v>64</v>
      </c>
      <c r="P1" s="52" t="s">
        <v>23</v>
      </c>
      <c r="R1" s="52" t="s">
        <v>65</v>
      </c>
      <c r="S1" s="52" t="s">
        <v>427</v>
      </c>
      <c r="T1" s="52" t="s">
        <v>23</v>
      </c>
      <c r="V1" s="52" t="s">
        <v>66</v>
      </c>
      <c r="W1" s="52" t="s">
        <v>66</v>
      </c>
      <c r="X1" s="52" t="s">
        <v>23</v>
      </c>
      <c r="Z1" s="52" t="s">
        <v>67</v>
      </c>
      <c r="AA1" s="52" t="s">
        <v>68</v>
      </c>
      <c r="AB1" s="52" t="s">
        <v>23</v>
      </c>
      <c r="AD1" s="52" t="s">
        <v>69</v>
      </c>
      <c r="AE1" s="52" t="s">
        <v>70</v>
      </c>
      <c r="AF1" s="52" t="s">
        <v>23</v>
      </c>
    </row>
    <row r="2" spans="1:32" s="4" customFormat="1" x14ac:dyDescent="0.25">
      <c r="A2" s="53" t="s">
        <v>11</v>
      </c>
      <c r="B2" s="113">
        <v>160.46033333333335</v>
      </c>
      <c r="C2" s="113">
        <v>160.62866666666665</v>
      </c>
      <c r="D2" s="4">
        <f>(C2-B2)/B2*100</f>
        <v>0.10490650856595539</v>
      </c>
      <c r="F2" s="113">
        <v>160.96799999999999</v>
      </c>
      <c r="G2" s="113">
        <v>160.78800000000001</v>
      </c>
      <c r="H2" s="4">
        <f>(G2-F2)/F2*100</f>
        <v>-0.11182346801847473</v>
      </c>
      <c r="J2" s="113">
        <v>8.8160000000000007</v>
      </c>
      <c r="K2" s="113">
        <v>8.8136666666666663</v>
      </c>
      <c r="L2" s="4">
        <f>(K2-J2)/J2*100</f>
        <v>-2.6467029643085394E-2</v>
      </c>
      <c r="N2" s="113">
        <v>9.968</v>
      </c>
      <c r="O2" s="113">
        <v>9.25</v>
      </c>
      <c r="P2" s="4">
        <f>(O2-N2)/N2*100</f>
        <v>-7.2030497592295335</v>
      </c>
      <c r="R2" s="113">
        <v>188.71400000000003</v>
      </c>
      <c r="S2" s="113">
        <v>209.28899999999999</v>
      </c>
      <c r="T2" s="4">
        <f>(S2-R2)/R2*100</f>
        <v>10.902741714976079</v>
      </c>
      <c r="V2" s="113">
        <v>196.20500000000001</v>
      </c>
      <c r="W2" s="113">
        <v>217.03800000000001</v>
      </c>
      <c r="X2" s="4">
        <f>(W2-V2)/V2*100</f>
        <v>10.617976096429754</v>
      </c>
      <c r="Z2" s="113">
        <v>143.23066666666665</v>
      </c>
      <c r="AA2" s="113">
        <v>160.08000000000001</v>
      </c>
      <c r="AB2" s="4">
        <f>(AA2-Z2)/Z2*100</f>
        <v>11.763774983011109</v>
      </c>
      <c r="AD2" s="113">
        <v>151.80699999999999</v>
      </c>
      <c r="AE2" s="113">
        <v>169.12799999999999</v>
      </c>
      <c r="AF2" s="4">
        <f>(AE2-AD2)/AD2*100</f>
        <v>11.409882284743126</v>
      </c>
    </row>
    <row r="3" spans="1:32" s="4" customFormat="1" x14ac:dyDescent="0.25">
      <c r="A3" s="53" t="s">
        <v>10</v>
      </c>
      <c r="B3" s="113">
        <v>177.22333333333336</v>
      </c>
      <c r="C3" s="113">
        <v>177.20233333333331</v>
      </c>
      <c r="D3" s="4">
        <f t="shared" ref="D3:D15" si="0">(C3-B3)/B3*100</f>
        <v>-1.184945548933178E-2</v>
      </c>
      <c r="F3" s="113">
        <v>179.74700000000001</v>
      </c>
      <c r="G3" s="113">
        <v>180.07</v>
      </c>
      <c r="H3" s="4">
        <f t="shared" ref="H3:H15" si="1">(G3-F3)/F3*100</f>
        <v>0.17969701858722487</v>
      </c>
      <c r="J3" s="113">
        <v>12.245666666666665</v>
      </c>
      <c r="K3" s="113">
        <v>10.847333333333333</v>
      </c>
      <c r="L3" s="4">
        <f t="shared" ref="L3:L15" si="2">(K3-J3)/J3*100</f>
        <v>-11.419005362441123</v>
      </c>
      <c r="N3" s="113">
        <v>12.398</v>
      </c>
      <c r="O3" s="113">
        <v>11.391</v>
      </c>
      <c r="P3" s="4">
        <f t="shared" ref="P3:P15" si="3">(O3-N3)/N3*100</f>
        <v>-8.1222777867397937</v>
      </c>
      <c r="R3" s="113">
        <v>197.67433333333335</v>
      </c>
      <c r="S3" s="113">
        <v>201.697</v>
      </c>
      <c r="T3" s="4">
        <f t="shared" ref="T3:T15" si="4">(S3-R3)/R3*100</f>
        <v>2.0349969562731891</v>
      </c>
      <c r="V3" s="113">
        <v>202.34200000000001</v>
      </c>
      <c r="W3" s="113">
        <v>206.005</v>
      </c>
      <c r="X3" s="4">
        <f t="shared" ref="X3:X14" si="5">(W3-V3)/V3*100</f>
        <v>1.8103013709462108</v>
      </c>
      <c r="Z3" s="113">
        <v>133.49600000000001</v>
      </c>
      <c r="AA3" s="113">
        <v>136.03700000000001</v>
      </c>
      <c r="AB3" s="4">
        <f t="shared" ref="AB3:AB15" si="6">(AA3-Z3)/Z3*100</f>
        <v>1.9034278180619619</v>
      </c>
      <c r="AD3" s="113">
        <v>135</v>
      </c>
      <c r="AE3" s="113">
        <v>139.35499999999999</v>
      </c>
      <c r="AF3" s="4">
        <f t="shared" ref="AF3:AF15" si="7">(AE3-AD3)/AD3*100</f>
        <v>3.2259259259259183</v>
      </c>
    </row>
    <row r="4" spans="1:32" s="4" customFormat="1" x14ac:dyDescent="0.25">
      <c r="A4" s="53" t="s">
        <v>12</v>
      </c>
      <c r="B4" s="113">
        <v>138.90066666666667</v>
      </c>
      <c r="C4" s="113">
        <v>145.75866666666664</v>
      </c>
      <c r="D4" s="4">
        <f t="shared" si="0"/>
        <v>4.937341313456602</v>
      </c>
      <c r="F4" s="113">
        <v>140.398</v>
      </c>
      <c r="G4" s="113">
        <v>147.93700000000001</v>
      </c>
      <c r="H4" s="4">
        <f t="shared" si="1"/>
        <v>5.3697346116041658</v>
      </c>
      <c r="J4" s="113">
        <v>9.1856666666666662</v>
      </c>
      <c r="K4" s="113">
        <v>8.2739999999999991</v>
      </c>
      <c r="L4" s="4">
        <f t="shared" si="2"/>
        <v>-9.9248829698443277</v>
      </c>
      <c r="N4" s="113">
        <v>9.7349999999999994</v>
      </c>
      <c r="O4" s="113">
        <v>8.7859999999999996</v>
      </c>
      <c r="P4" s="4">
        <f t="shared" si="3"/>
        <v>-9.7483307652799169</v>
      </c>
      <c r="R4" s="113">
        <v>192.571</v>
      </c>
      <c r="S4" s="113">
        <v>227.88166666666666</v>
      </c>
      <c r="T4" s="4">
        <f t="shared" si="4"/>
        <v>18.336440412453932</v>
      </c>
      <c r="V4" s="113">
        <v>196.05199999999999</v>
      </c>
      <c r="W4" s="113">
        <v>241.47200000000001</v>
      </c>
      <c r="X4" s="4">
        <f t="shared" si="5"/>
        <v>23.167322955134363</v>
      </c>
      <c r="Z4" s="113">
        <v>165.88900000000001</v>
      </c>
      <c r="AA4" s="113">
        <v>191.60299999999998</v>
      </c>
      <c r="AB4" s="4">
        <f t="shared" si="6"/>
        <v>15.500726389332605</v>
      </c>
      <c r="AD4" s="113">
        <v>169.91200000000001</v>
      </c>
      <c r="AE4" s="113">
        <v>210.21899999999999</v>
      </c>
      <c r="AF4" s="4">
        <f t="shared" si="7"/>
        <v>23.722279768350667</v>
      </c>
    </row>
    <row r="5" spans="1:32" s="41" customFormat="1" x14ac:dyDescent="0.25">
      <c r="A5" s="31" t="s">
        <v>13</v>
      </c>
      <c r="B5" s="114">
        <v>143.11866666666666</v>
      </c>
      <c r="C5" s="114">
        <v>150.11533333333333</v>
      </c>
      <c r="D5" s="41">
        <f t="shared" si="0"/>
        <v>4.8887170553107469</v>
      </c>
      <c r="F5" s="114">
        <v>150.06800000000001</v>
      </c>
      <c r="G5" s="114">
        <v>150.84100000000001</v>
      </c>
      <c r="H5" s="41">
        <f t="shared" si="1"/>
        <v>0.51509982141428956</v>
      </c>
      <c r="J5" s="114">
        <v>12.46</v>
      </c>
      <c r="K5" s="114">
        <v>10.844333333333333</v>
      </c>
      <c r="L5" s="41">
        <f t="shared" si="2"/>
        <v>-12.966827180310334</v>
      </c>
      <c r="N5" s="114">
        <v>12.701000000000001</v>
      </c>
      <c r="O5" s="114">
        <v>11.345000000000001</v>
      </c>
      <c r="P5" s="41">
        <f t="shared" si="3"/>
        <v>-10.67632469884261</v>
      </c>
      <c r="R5" s="114">
        <v>186.40866666666668</v>
      </c>
      <c r="S5" s="114">
        <v>185.85100000000003</v>
      </c>
      <c r="T5" s="41">
        <f t="shared" si="4"/>
        <v>-0.29916348667621762</v>
      </c>
      <c r="V5" s="114">
        <v>187.02799999999999</v>
      </c>
      <c r="W5" s="114">
        <v>189.25200000000001</v>
      </c>
      <c r="X5" s="41">
        <f t="shared" si="5"/>
        <v>1.189126761768301</v>
      </c>
      <c r="Z5" s="114">
        <v>156.304</v>
      </c>
      <c r="AA5" s="114">
        <v>149.13333333333333</v>
      </c>
      <c r="AB5" s="41">
        <f t="shared" si="6"/>
        <v>-4.5876411778755992</v>
      </c>
      <c r="AD5" s="114">
        <v>170.07900000000001</v>
      </c>
      <c r="AE5" s="114">
        <v>152.381</v>
      </c>
      <c r="AF5" s="41">
        <f t="shared" si="7"/>
        <v>-10.405752620840907</v>
      </c>
    </row>
    <row r="6" spans="1:32" s="41" customFormat="1" x14ac:dyDescent="0.25">
      <c r="A6" s="31" t="s">
        <v>14</v>
      </c>
      <c r="B6" s="114">
        <v>186.27133333333336</v>
      </c>
      <c r="C6" s="114">
        <v>192.67166666666665</v>
      </c>
      <c r="D6" s="41">
        <f t="shared" si="0"/>
        <v>3.4360270143553806</v>
      </c>
      <c r="F6" s="114">
        <v>188.73500000000001</v>
      </c>
      <c r="G6" s="114">
        <v>195.023</v>
      </c>
      <c r="H6" s="41">
        <f t="shared" si="1"/>
        <v>3.3316554958009816</v>
      </c>
      <c r="J6" s="114">
        <v>17.759333333333334</v>
      </c>
      <c r="K6" s="114">
        <v>17.466999999999999</v>
      </c>
      <c r="L6" s="41">
        <f t="shared" si="2"/>
        <v>-1.646082810916337</v>
      </c>
      <c r="N6" s="114">
        <v>18.969000000000001</v>
      </c>
      <c r="O6" s="114">
        <v>20.044</v>
      </c>
      <c r="P6" s="41">
        <f t="shared" si="3"/>
        <v>5.6671411249934067</v>
      </c>
      <c r="R6" s="114">
        <v>204.10599999999999</v>
      </c>
      <c r="S6" s="114">
        <v>246.80666666666664</v>
      </c>
      <c r="T6" s="41">
        <f t="shared" si="4"/>
        <v>20.920828719717523</v>
      </c>
      <c r="V6" s="114">
        <v>208.547</v>
      </c>
      <c r="W6" s="114">
        <v>253.83099999999999</v>
      </c>
      <c r="X6" s="41">
        <f t="shared" si="5"/>
        <v>21.71405007024795</v>
      </c>
      <c r="Z6" s="114">
        <v>131.46600000000001</v>
      </c>
      <c r="AA6" s="114">
        <v>153.34966666666665</v>
      </c>
      <c r="AB6" s="41">
        <f t="shared" si="6"/>
        <v>16.645875486183986</v>
      </c>
      <c r="AD6" s="114">
        <v>133.333</v>
      </c>
      <c r="AE6" s="114">
        <v>159.41</v>
      </c>
      <c r="AF6" s="41">
        <f t="shared" si="7"/>
        <v>19.557798894497235</v>
      </c>
    </row>
    <row r="7" spans="1:32" s="41" customFormat="1" x14ac:dyDescent="0.25">
      <c r="A7" s="31" t="s">
        <v>15</v>
      </c>
      <c r="B7" s="114">
        <v>146.3073333333333</v>
      </c>
      <c r="C7" s="114">
        <v>150.80533333333332</v>
      </c>
      <c r="D7" s="41">
        <f t="shared" si="0"/>
        <v>3.0743503401515668</v>
      </c>
      <c r="F7" s="114">
        <v>148.98599999999999</v>
      </c>
      <c r="G7" s="114">
        <v>152.346</v>
      </c>
      <c r="H7" s="41">
        <f t="shared" si="1"/>
        <v>2.2552454593049105</v>
      </c>
      <c r="J7" s="114">
        <v>10.586</v>
      </c>
      <c r="K7" s="114">
        <v>9.4089999999999989</v>
      </c>
      <c r="L7" s="41">
        <f t="shared" si="2"/>
        <v>-11.118458341205379</v>
      </c>
      <c r="N7" s="114">
        <v>11.321</v>
      </c>
      <c r="O7" s="114">
        <v>11.058999999999999</v>
      </c>
      <c r="P7" s="41">
        <f t="shared" si="3"/>
        <v>-2.3142831905308756</v>
      </c>
      <c r="R7" s="114">
        <v>172.48133333333331</v>
      </c>
      <c r="S7" s="114">
        <v>180.39599999999999</v>
      </c>
      <c r="T7" s="41">
        <f t="shared" si="4"/>
        <v>4.5887091163488281</v>
      </c>
      <c r="V7" s="114">
        <v>182.43199999999999</v>
      </c>
      <c r="W7" s="114">
        <v>183.59299999999999</v>
      </c>
      <c r="X7" s="41">
        <f t="shared" si="5"/>
        <v>0.63640150850728017</v>
      </c>
      <c r="Z7" s="114">
        <v>144.65333333333334</v>
      </c>
      <c r="AA7" s="114">
        <v>143.68566666666666</v>
      </c>
      <c r="AB7" s="41">
        <f t="shared" si="6"/>
        <v>-0.66895566411651308</v>
      </c>
      <c r="AD7" s="114">
        <v>148.45400000000001</v>
      </c>
      <c r="AE7" s="114">
        <v>145.245</v>
      </c>
      <c r="AF7" s="41">
        <f t="shared" si="7"/>
        <v>-2.1616123513007417</v>
      </c>
    </row>
    <row r="8" spans="1:32" s="41" customFormat="1" x14ac:dyDescent="0.25">
      <c r="A8" s="31" t="s">
        <v>16</v>
      </c>
      <c r="B8" s="114">
        <v>180.07433333333333</v>
      </c>
      <c r="C8" s="114">
        <v>186.81700000000001</v>
      </c>
      <c r="D8" s="41">
        <f t="shared" si="0"/>
        <v>3.7443796358170673</v>
      </c>
      <c r="F8" s="114">
        <v>180.51900000000001</v>
      </c>
      <c r="G8" s="114">
        <v>187.26900000000001</v>
      </c>
      <c r="H8" s="41">
        <f t="shared" si="1"/>
        <v>3.7392185864091867</v>
      </c>
      <c r="J8" s="114">
        <v>16.394666666666666</v>
      </c>
      <c r="K8" s="114">
        <v>16.845333333333333</v>
      </c>
      <c r="L8" s="41">
        <f t="shared" si="2"/>
        <v>2.7488614183474307</v>
      </c>
      <c r="N8" s="114">
        <v>17.134</v>
      </c>
      <c r="O8" s="114">
        <v>18.635999999999999</v>
      </c>
      <c r="P8" s="41">
        <f t="shared" si="3"/>
        <v>8.766195867865056</v>
      </c>
      <c r="R8" s="114">
        <v>196.946</v>
      </c>
      <c r="S8" s="114">
        <v>222.75066666666666</v>
      </c>
      <c r="T8" s="41">
        <f t="shared" si="4"/>
        <v>13.102407089591392</v>
      </c>
      <c r="V8" s="114">
        <v>200.01</v>
      </c>
      <c r="W8" s="114">
        <v>225.625</v>
      </c>
      <c r="X8" s="41">
        <f t="shared" si="5"/>
        <v>12.806859657017156</v>
      </c>
      <c r="Z8" s="114">
        <v>130.65866666666668</v>
      </c>
      <c r="AA8" s="114">
        <v>142.61233333333334</v>
      </c>
      <c r="AB8" s="41">
        <f t="shared" si="6"/>
        <v>9.1487744147600836</v>
      </c>
      <c r="AD8" s="114">
        <v>132.51499999999999</v>
      </c>
      <c r="AE8" s="114">
        <v>144.482</v>
      </c>
      <c r="AF8" s="41">
        <f t="shared" si="7"/>
        <v>9.0306757725540621</v>
      </c>
    </row>
    <row r="9" spans="1:32" s="41" customFormat="1" x14ac:dyDescent="0.25">
      <c r="A9" s="31" t="s">
        <v>112</v>
      </c>
      <c r="B9" s="115">
        <v>116.16899999999998</v>
      </c>
      <c r="C9" s="116">
        <v>147.54999999999998</v>
      </c>
      <c r="D9" s="41">
        <f t="shared" si="0"/>
        <v>27.013230724203535</v>
      </c>
      <c r="F9" s="115">
        <v>116.83799999999999</v>
      </c>
      <c r="G9" s="116">
        <v>148.07300000000001</v>
      </c>
      <c r="H9" s="41">
        <f t="shared" si="1"/>
        <v>26.733596946199022</v>
      </c>
      <c r="J9" s="115">
        <v>2.2486666666666668</v>
      </c>
      <c r="K9" s="116">
        <v>9.7596666666666678</v>
      </c>
      <c r="L9" s="41">
        <f t="shared" si="2"/>
        <v>334.02016009487107</v>
      </c>
      <c r="N9" s="115">
        <v>2.464</v>
      </c>
      <c r="O9" s="116">
        <v>10.478</v>
      </c>
      <c r="P9" s="41">
        <f t="shared" si="3"/>
        <v>325.24350649350646</v>
      </c>
      <c r="R9" s="115">
        <v>192.93633333333332</v>
      </c>
      <c r="S9" s="115">
        <v>182.10866666666666</v>
      </c>
      <c r="T9" s="41">
        <f t="shared" si="4"/>
        <v>-5.6120412778654059</v>
      </c>
      <c r="V9" s="115">
        <v>197.00299999999999</v>
      </c>
      <c r="W9" s="115">
        <v>184.816</v>
      </c>
      <c r="X9" s="41">
        <f t="shared" si="5"/>
        <v>-6.1862002101490763</v>
      </c>
      <c r="Z9" s="115">
        <v>194.24966666666668</v>
      </c>
      <c r="AA9" s="115">
        <v>147.95833333333334</v>
      </c>
      <c r="AB9" s="41">
        <f t="shared" si="6"/>
        <v>-23.830843124569927</v>
      </c>
      <c r="AD9" s="115">
        <v>201.24199999999999</v>
      </c>
      <c r="AE9" s="115">
        <v>149.61000000000001</v>
      </c>
      <c r="AF9" s="41">
        <f t="shared" si="7"/>
        <v>-25.65667206646723</v>
      </c>
    </row>
    <row r="10" spans="1:32" s="41" customFormat="1" x14ac:dyDescent="0.25">
      <c r="A10" s="31" t="s">
        <v>113</v>
      </c>
      <c r="B10" s="115">
        <v>146.042</v>
      </c>
      <c r="C10" s="116">
        <v>151.55366666666666</v>
      </c>
      <c r="D10" s="41">
        <f t="shared" si="0"/>
        <v>3.7740284758265816</v>
      </c>
      <c r="F10" s="115">
        <v>148.881</v>
      </c>
      <c r="G10" s="116">
        <v>152.36099999999999</v>
      </c>
      <c r="H10" s="41">
        <f t="shared" si="1"/>
        <v>2.3374372821246427</v>
      </c>
      <c r="J10" s="115">
        <v>14.653666666666666</v>
      </c>
      <c r="K10" s="115">
        <v>12.961333333333334</v>
      </c>
      <c r="L10" s="41">
        <f t="shared" si="2"/>
        <v>-11.54887286458451</v>
      </c>
      <c r="N10" s="115">
        <v>15.528</v>
      </c>
      <c r="O10" s="115">
        <v>13.776</v>
      </c>
      <c r="P10" s="41">
        <f t="shared" si="3"/>
        <v>-11.282843894899539</v>
      </c>
      <c r="R10" s="168">
        <v>222.71699999999998</v>
      </c>
      <c r="S10" s="115">
        <v>204.24233333333333</v>
      </c>
      <c r="T10" s="41">
        <f t="shared" si="4"/>
        <v>-8.2951308910710235</v>
      </c>
      <c r="V10" s="115">
        <v>206.143</v>
      </c>
      <c r="W10" s="115">
        <v>209.124</v>
      </c>
      <c r="X10" s="41">
        <f t="shared" si="5"/>
        <v>1.4460835439476454</v>
      </c>
      <c r="Z10" s="115">
        <v>163.78266666666664</v>
      </c>
      <c r="AA10" s="115">
        <v>166.28700000000001</v>
      </c>
      <c r="AB10" s="41">
        <f t="shared" si="6"/>
        <v>1.5290588340646734</v>
      </c>
      <c r="AD10" s="115">
        <v>166.33699999999999</v>
      </c>
      <c r="AE10" s="115">
        <v>171.94</v>
      </c>
      <c r="AF10" s="41">
        <f t="shared" si="7"/>
        <v>3.3684628194568909</v>
      </c>
    </row>
    <row r="11" spans="1:32" s="116" customFormat="1" x14ac:dyDescent="0.25">
      <c r="A11" s="115" t="s">
        <v>114</v>
      </c>
      <c r="B11" s="115">
        <v>136.73766666666666</v>
      </c>
      <c r="C11" s="116">
        <v>154.363</v>
      </c>
      <c r="D11" s="116">
        <f t="shared" si="0"/>
        <v>12.889888911370443</v>
      </c>
      <c r="F11" s="115">
        <v>141.17699999999999</v>
      </c>
      <c r="G11" s="116">
        <v>161.322</v>
      </c>
      <c r="H11" s="116">
        <f t="shared" si="1"/>
        <v>14.269321490044421</v>
      </c>
      <c r="J11" s="115">
        <v>10.656666666666666</v>
      </c>
      <c r="K11" s="116">
        <v>14.618666666666664</v>
      </c>
      <c r="L11" s="116">
        <f t="shared" si="2"/>
        <v>37.178604942133234</v>
      </c>
      <c r="N11" s="115">
        <v>12.56</v>
      </c>
      <c r="O11" s="116">
        <v>15.346</v>
      </c>
      <c r="P11" s="116">
        <f t="shared" si="3"/>
        <v>22.181528662420376</v>
      </c>
      <c r="R11" s="168">
        <v>225.48066666666668</v>
      </c>
      <c r="S11" s="116">
        <v>217.42966666666666</v>
      </c>
      <c r="T11" s="116">
        <f t="shared" si="4"/>
        <v>-3.5705943746840156</v>
      </c>
      <c r="V11" s="115">
        <v>201.37200000000001</v>
      </c>
      <c r="W11" s="116">
        <v>229.62100000000001</v>
      </c>
      <c r="X11" s="116">
        <f t="shared" si="5"/>
        <v>14.028266094591102</v>
      </c>
      <c r="Z11" s="115">
        <v>161.084</v>
      </c>
      <c r="AA11" s="116">
        <v>172.65200000000002</v>
      </c>
      <c r="AB11" s="116">
        <f t="shared" si="6"/>
        <v>7.1813463782871123</v>
      </c>
      <c r="AD11" s="115">
        <v>176.68700000000001</v>
      </c>
      <c r="AE11" s="116">
        <v>188.06</v>
      </c>
      <c r="AF11" s="116">
        <f t="shared" si="7"/>
        <v>6.4368063298375038</v>
      </c>
    </row>
    <row r="12" spans="1:32" s="41" customFormat="1" x14ac:dyDescent="0.25">
      <c r="A12" s="31" t="s">
        <v>115</v>
      </c>
      <c r="B12" s="117">
        <v>161.61133333333331</v>
      </c>
      <c r="C12" s="116">
        <v>178.47899999999996</v>
      </c>
      <c r="D12" s="41">
        <f t="shared" si="0"/>
        <v>10.437180560769246</v>
      </c>
      <c r="F12" s="117">
        <v>164.76599999999999</v>
      </c>
      <c r="G12" s="116">
        <v>184.792</v>
      </c>
      <c r="H12" s="41">
        <f t="shared" si="1"/>
        <v>12.154206571744178</v>
      </c>
      <c r="J12" s="117">
        <v>12.284999999999998</v>
      </c>
      <c r="K12" s="116">
        <v>12.118333333333332</v>
      </c>
      <c r="L12" s="41">
        <f t="shared" si="2"/>
        <v>-1.3566680233346853</v>
      </c>
      <c r="N12" s="117">
        <v>13.106</v>
      </c>
      <c r="O12" s="116">
        <v>14.895</v>
      </c>
      <c r="P12" s="41">
        <f t="shared" si="3"/>
        <v>13.650236532885698</v>
      </c>
      <c r="R12" s="117">
        <v>186.88533333333331</v>
      </c>
      <c r="S12" s="116">
        <v>207.37766666666667</v>
      </c>
      <c r="T12" s="41">
        <f t="shared" si="4"/>
        <v>10.965190776518954</v>
      </c>
      <c r="V12" s="117">
        <v>191.83799999999999</v>
      </c>
      <c r="W12" s="116">
        <v>221.75</v>
      </c>
      <c r="X12" s="41">
        <f t="shared" si="5"/>
        <v>15.592322688935459</v>
      </c>
      <c r="Z12" s="117">
        <v>141.38899999999998</v>
      </c>
      <c r="AA12" s="116">
        <v>138.98099999999999</v>
      </c>
      <c r="AB12" s="41">
        <f t="shared" si="6"/>
        <v>-1.7031027873455413</v>
      </c>
      <c r="AD12" s="117">
        <v>149.55500000000001</v>
      </c>
      <c r="AE12" s="116">
        <v>143.52199999999999</v>
      </c>
      <c r="AF12" s="41">
        <f t="shared" si="7"/>
        <v>-4.0339674367289726</v>
      </c>
    </row>
    <row r="13" spans="1:32" s="116" customFormat="1" x14ac:dyDescent="0.25">
      <c r="A13" s="115" t="s">
        <v>117</v>
      </c>
      <c r="B13" s="116">
        <v>178.93700000000001</v>
      </c>
      <c r="C13" s="116">
        <v>165.89333333333332</v>
      </c>
      <c r="D13" s="116">
        <f t="shared" si="0"/>
        <v>-7.2895302070933878</v>
      </c>
      <c r="F13" s="116">
        <v>182.16300000000001</v>
      </c>
      <c r="G13" s="116">
        <v>167.541</v>
      </c>
      <c r="H13" s="116">
        <f t="shared" si="1"/>
        <v>-8.0268770277169423</v>
      </c>
      <c r="J13" s="116">
        <v>10.334666666666665</v>
      </c>
      <c r="K13" s="116">
        <v>8.3310000000000013</v>
      </c>
      <c r="L13" s="116">
        <f t="shared" si="2"/>
        <v>-19.387820926332065</v>
      </c>
      <c r="N13" s="116">
        <v>11.521000000000001</v>
      </c>
      <c r="O13" s="116">
        <v>8.5</v>
      </c>
      <c r="P13" s="116">
        <f t="shared" si="3"/>
        <v>-26.221682145647087</v>
      </c>
      <c r="R13" s="116">
        <v>201.68733333333333</v>
      </c>
      <c r="S13" s="116">
        <v>240.93299999999999</v>
      </c>
      <c r="T13" s="116">
        <f t="shared" si="4"/>
        <v>19.458667045691186</v>
      </c>
      <c r="V13" s="116">
        <v>215.578</v>
      </c>
      <c r="W13" s="116">
        <v>250.709</v>
      </c>
      <c r="X13" s="116">
        <f t="shared" si="5"/>
        <v>16.296189778177737</v>
      </c>
      <c r="Z13" s="116">
        <v>134.92633333333333</v>
      </c>
      <c r="AA13" s="116">
        <v>174.22733333333335</v>
      </c>
      <c r="AB13" s="116">
        <f t="shared" si="6"/>
        <v>29.127746251658326</v>
      </c>
      <c r="AD13" s="116">
        <v>142.10499999999999</v>
      </c>
      <c r="AE13" s="116">
        <v>183.273</v>
      </c>
      <c r="AF13" s="116">
        <f t="shared" si="7"/>
        <v>28.970127722458749</v>
      </c>
    </row>
    <row r="14" spans="1:32" s="116" customFormat="1" x14ac:dyDescent="0.25">
      <c r="A14" s="115" t="s">
        <v>121</v>
      </c>
      <c r="B14" s="116">
        <v>163.88033333333331</v>
      </c>
      <c r="C14" s="116">
        <v>158.85833333333335</v>
      </c>
      <c r="D14" s="116">
        <f t="shared" si="0"/>
        <v>-3.0644311601351171</v>
      </c>
      <c r="F14" s="116">
        <v>166.01599999999999</v>
      </c>
      <c r="G14" s="116">
        <v>168.15799999999999</v>
      </c>
      <c r="H14" s="116">
        <f t="shared" si="1"/>
        <v>1.2902370855821101</v>
      </c>
      <c r="J14" s="116">
        <v>12.368</v>
      </c>
      <c r="K14" s="116">
        <v>8.3866666666666667</v>
      </c>
      <c r="L14" s="116">
        <f t="shared" si="2"/>
        <v>-32.19059939629151</v>
      </c>
      <c r="N14" s="116">
        <v>14.131</v>
      </c>
      <c r="O14" s="116">
        <v>13.137</v>
      </c>
      <c r="P14" s="116">
        <f t="shared" si="3"/>
        <v>-7.0341801712546861</v>
      </c>
      <c r="R14" s="116">
        <v>202.09</v>
      </c>
      <c r="S14" s="116">
        <v>200.95333333333335</v>
      </c>
      <c r="T14" s="116">
        <f t="shared" si="4"/>
        <v>-0.56245567156546883</v>
      </c>
      <c r="V14" s="116">
        <v>214.05199999999999</v>
      </c>
      <c r="W14" s="116">
        <v>211.08500000000001</v>
      </c>
      <c r="X14" s="116">
        <f t="shared" si="5"/>
        <v>-1.3861117859211709</v>
      </c>
      <c r="Z14" s="116">
        <v>147.90900000000002</v>
      </c>
      <c r="AA14" s="116">
        <v>152.49566666666666</v>
      </c>
      <c r="AB14" s="116">
        <f t="shared" si="6"/>
        <v>3.1010057986103914</v>
      </c>
      <c r="AD14" s="116">
        <v>155.55600000000001</v>
      </c>
      <c r="AE14" s="116">
        <v>176.68700000000001</v>
      </c>
      <c r="AF14" s="116">
        <f t="shared" si="7"/>
        <v>13.584175473784359</v>
      </c>
    </row>
    <row r="15" spans="1:32" s="115" customFormat="1" x14ac:dyDescent="0.25">
      <c r="A15" s="115" t="s">
        <v>122</v>
      </c>
      <c r="B15" s="115">
        <v>150.86533333333335</v>
      </c>
      <c r="C15" s="115">
        <v>162.48500000000001</v>
      </c>
      <c r="D15" s="115">
        <f t="shared" si="0"/>
        <v>7.7020123907414071</v>
      </c>
      <c r="F15" s="115">
        <v>151.22300000000001</v>
      </c>
      <c r="G15" s="115">
        <v>166.255</v>
      </c>
      <c r="H15" s="115">
        <f t="shared" si="1"/>
        <v>9.9402868611256086</v>
      </c>
      <c r="J15" s="115">
        <v>14.529666666666666</v>
      </c>
      <c r="K15" s="115">
        <v>13</v>
      </c>
      <c r="L15" s="115">
        <f t="shared" si="2"/>
        <v>-10.527885475693402</v>
      </c>
      <c r="N15" s="115">
        <v>14.874000000000001</v>
      </c>
      <c r="O15" s="115">
        <v>15.691000000000001</v>
      </c>
      <c r="P15" s="115">
        <f t="shared" si="3"/>
        <v>5.4928062390748966</v>
      </c>
      <c r="R15" s="115">
        <v>163.08533333333332</v>
      </c>
      <c r="S15" s="115">
        <v>193.80466666666666</v>
      </c>
      <c r="T15" s="115">
        <f t="shared" si="4"/>
        <v>18.83635560933336</v>
      </c>
      <c r="V15" s="115">
        <v>168.732</v>
      </c>
      <c r="W15" s="115">
        <v>207.1</v>
      </c>
      <c r="X15" s="115">
        <f>(W15-V15)/V15*100</f>
        <v>22.739018087855296</v>
      </c>
      <c r="Z15" s="115">
        <v>132.08566666666664</v>
      </c>
      <c r="AA15" s="115">
        <v>143.29633333333334</v>
      </c>
      <c r="AB15" s="115">
        <f t="shared" si="6"/>
        <v>8.487421042404323</v>
      </c>
      <c r="AD15" s="115">
        <v>140.488</v>
      </c>
      <c r="AE15" s="115">
        <v>148.673</v>
      </c>
      <c r="AF15" s="115">
        <f t="shared" si="7"/>
        <v>5.8261203803883621</v>
      </c>
    </row>
    <row r="16" spans="1:32" s="115" customFormat="1" x14ac:dyDescent="0.25">
      <c r="A16" s="100" t="s">
        <v>123</v>
      </c>
      <c r="B16" s="89" t="s">
        <v>184</v>
      </c>
      <c r="C16" s="102"/>
      <c r="D16" s="103"/>
      <c r="E16" s="7"/>
      <c r="F16" s="102" t="s">
        <v>148</v>
      </c>
      <c r="G16" s="103" t="s">
        <v>151</v>
      </c>
      <c r="H16" s="7"/>
      <c r="I16" s="7"/>
      <c r="J16" s="102" t="s">
        <v>148</v>
      </c>
      <c r="K16" s="103" t="s">
        <v>151</v>
      </c>
      <c r="L16" s="7"/>
      <c r="M16" s="7"/>
      <c r="N16" s="102" t="s">
        <v>148</v>
      </c>
      <c r="O16" s="103" t="s">
        <v>151</v>
      </c>
      <c r="P16" s="7"/>
      <c r="Q16" s="7"/>
      <c r="R16" s="102" t="s">
        <v>148</v>
      </c>
      <c r="S16" s="103" t="s">
        <v>151</v>
      </c>
      <c r="T16" s="7"/>
      <c r="U16" s="7"/>
      <c r="V16" s="102" t="s">
        <v>148</v>
      </c>
      <c r="W16" s="103" t="s">
        <v>151</v>
      </c>
      <c r="X16" s="7"/>
      <c r="Y16" s="7"/>
      <c r="Z16" s="102" t="s">
        <v>148</v>
      </c>
      <c r="AA16" s="103" t="s">
        <v>151</v>
      </c>
      <c r="AB16" s="7"/>
      <c r="AC16" s="7"/>
      <c r="AD16" s="102" t="s">
        <v>148</v>
      </c>
      <c r="AE16" s="103" t="s">
        <v>151</v>
      </c>
      <c r="AF16" s="7"/>
    </row>
    <row r="17" spans="1:32" s="115" customFormat="1" x14ac:dyDescent="0.25">
      <c r="A17" s="115" t="s">
        <v>17</v>
      </c>
      <c r="B17" s="125">
        <f>AVERAGE(B2:B16)</f>
        <v>156.18561904761904</v>
      </c>
      <c r="C17" s="125">
        <f t="shared" ref="C17:AF17" si="8">AVERAGE(C2:C16)</f>
        <v>163.08438095238097</v>
      </c>
      <c r="D17" s="125">
        <f t="shared" si="8"/>
        <v>5.1168751505607633</v>
      </c>
      <c r="E17" s="125"/>
      <c r="F17" s="125">
        <f t="shared" si="8"/>
        <v>158.60607142857143</v>
      </c>
      <c r="G17" s="125">
        <f t="shared" si="8"/>
        <v>165.91257142857145</v>
      </c>
      <c r="H17" s="125">
        <f t="shared" si="8"/>
        <v>5.2840740524432377</v>
      </c>
      <c r="I17" s="125"/>
      <c r="J17" s="125">
        <f t="shared" si="8"/>
        <v>11.751690476190475</v>
      </c>
      <c r="K17" s="125">
        <f t="shared" si="8"/>
        <v>11.548309523809522</v>
      </c>
      <c r="L17" s="125">
        <f t="shared" si="8"/>
        <v>17.988146862482502</v>
      </c>
      <c r="M17" s="125"/>
      <c r="N17" s="125">
        <f t="shared" si="8"/>
        <v>12.600714285714288</v>
      </c>
      <c r="O17" s="125">
        <f t="shared" si="8"/>
        <v>13.023857142857143</v>
      </c>
      <c r="P17" s="125">
        <f t="shared" si="8"/>
        <v>21.314174464880132</v>
      </c>
      <c r="Q17" s="125"/>
      <c r="R17" s="125">
        <f t="shared" si="8"/>
        <v>195.27023809523808</v>
      </c>
      <c r="S17" s="125">
        <f t="shared" si="8"/>
        <v>208.68009523809522</v>
      </c>
      <c r="T17" s="125">
        <f t="shared" si="8"/>
        <v>7.200496552788735</v>
      </c>
      <c r="U17" s="125"/>
      <c r="V17" s="125">
        <f t="shared" si="8"/>
        <v>197.66671428571431</v>
      </c>
      <c r="W17" s="125">
        <f t="shared" si="8"/>
        <v>216.50149999999999</v>
      </c>
      <c r="X17" s="125">
        <f t="shared" si="8"/>
        <v>9.6051147583920002</v>
      </c>
      <c r="Y17" s="125"/>
      <c r="Z17" s="125">
        <f t="shared" si="8"/>
        <v>148.65171428571429</v>
      </c>
      <c r="AA17" s="125">
        <f t="shared" si="8"/>
        <v>155.17133333333331</v>
      </c>
      <c r="AB17" s="125">
        <f t="shared" si="8"/>
        <v>5.257043903033356</v>
      </c>
      <c r="AC17" s="125"/>
      <c r="AD17" s="125">
        <f t="shared" si="8"/>
        <v>155.21928571428572</v>
      </c>
      <c r="AE17" s="125">
        <f t="shared" si="8"/>
        <v>162.99892857142854</v>
      </c>
      <c r="AF17" s="125">
        <f t="shared" si="8"/>
        <v>5.9195893497613588</v>
      </c>
    </row>
    <row r="18" spans="1:32" s="115" customFormat="1" x14ac:dyDescent="0.25">
      <c r="A18" s="115" t="s">
        <v>153</v>
      </c>
      <c r="B18" s="115">
        <f>STDEV(B2:B16)</f>
        <v>20.039956757317583</v>
      </c>
      <c r="C18" s="115">
        <f t="shared" ref="C18:AF18" si="9">STDEV(C2:C16)</f>
        <v>15.131687259882533</v>
      </c>
      <c r="D18" s="115">
        <f t="shared" si="9"/>
        <v>8.1235813192001665</v>
      </c>
      <c r="F18" s="115">
        <f t="shared" si="9"/>
        <v>19.966580484030636</v>
      </c>
      <c r="G18" s="115">
        <f t="shared" si="9"/>
        <v>15.570549013166763</v>
      </c>
      <c r="H18" s="115">
        <f t="shared" si="9"/>
        <v>8.3426785509128987</v>
      </c>
      <c r="J18" s="115">
        <f t="shared" si="9"/>
        <v>3.7751584343597733</v>
      </c>
      <c r="K18" s="115">
        <f t="shared" si="9"/>
        <v>3.0916102226219127</v>
      </c>
      <c r="L18" s="115">
        <f t="shared" si="9"/>
        <v>92.241650004082487</v>
      </c>
      <c r="N18" s="115">
        <f t="shared" si="9"/>
        <v>3.9045574836154118</v>
      </c>
      <c r="O18" s="115">
        <f t="shared" si="9"/>
        <v>3.5718751562545004</v>
      </c>
      <c r="P18" s="115">
        <f t="shared" si="9"/>
        <v>88.333846107108215</v>
      </c>
      <c r="R18" s="115">
        <f t="shared" si="9"/>
        <v>16.641225787171866</v>
      </c>
      <c r="S18" s="115">
        <f t="shared" si="9"/>
        <v>20.598404996515825</v>
      </c>
      <c r="T18" s="115">
        <f t="shared" si="9"/>
        <v>10.11825826074783</v>
      </c>
      <c r="V18" s="115">
        <f t="shared" si="9"/>
        <v>12.533809651244367</v>
      </c>
      <c r="W18" s="115">
        <f t="shared" si="9"/>
        <v>22.501574029558295</v>
      </c>
      <c r="X18" s="115">
        <f t="shared" si="9"/>
        <v>9.8577808354013072</v>
      </c>
      <c r="Z18" s="115">
        <f t="shared" si="9"/>
        <v>18.035541588979413</v>
      </c>
      <c r="AA18" s="115">
        <f t="shared" si="9"/>
        <v>15.936173071156265</v>
      </c>
      <c r="AB18" s="115">
        <f t="shared" si="9"/>
        <v>12.192202934820257</v>
      </c>
      <c r="AD18" s="115">
        <f t="shared" si="9"/>
        <v>19.653073137762334</v>
      </c>
      <c r="AE18" s="115">
        <f t="shared" si="9"/>
        <v>20.903226057474928</v>
      </c>
      <c r="AF18" s="115">
        <f t="shared" si="9"/>
        <v>14.073511477178327</v>
      </c>
    </row>
    <row r="19" spans="1:32" s="120" customFormat="1" x14ac:dyDescent="0.25">
      <c r="A19" s="126"/>
      <c r="B19" s="119"/>
      <c r="C19" s="119"/>
      <c r="D19" s="119"/>
      <c r="E19" s="113"/>
      <c r="F19" s="119"/>
      <c r="G19" s="119"/>
      <c r="H19" s="119"/>
      <c r="I19" s="113"/>
      <c r="J19" s="119"/>
      <c r="K19" s="119"/>
      <c r="L19" s="119"/>
      <c r="M19" s="113"/>
      <c r="N19" s="119"/>
      <c r="O19" s="119"/>
      <c r="P19" s="119"/>
      <c r="Q19" s="113"/>
      <c r="R19" s="119"/>
      <c r="S19" s="119"/>
      <c r="T19" s="119"/>
      <c r="U19" s="113"/>
      <c r="V19" s="119"/>
      <c r="W19" s="119"/>
      <c r="X19" s="119"/>
      <c r="Y19" s="113"/>
      <c r="Z19" s="119"/>
      <c r="AA19" s="119"/>
      <c r="AB19" s="119"/>
      <c r="AC19" s="113"/>
      <c r="AD19" s="119"/>
      <c r="AE19" s="119"/>
      <c r="AF19" s="119"/>
    </row>
    <row r="20" spans="1:32" s="120" customFormat="1" x14ac:dyDescent="0.25">
      <c r="A20" s="126"/>
      <c r="B20" s="121"/>
      <c r="C20" s="131" t="s">
        <v>185</v>
      </c>
      <c r="D20" s="131"/>
      <c r="E20" s="131"/>
      <c r="F20" s="131"/>
      <c r="G20" s="131" t="s">
        <v>185</v>
      </c>
      <c r="H20" s="131"/>
      <c r="I20" s="131"/>
      <c r="J20" s="131"/>
      <c r="K20" s="131" t="s">
        <v>185</v>
      </c>
      <c r="L20" s="131"/>
      <c r="M20" s="131"/>
      <c r="N20" s="131"/>
      <c r="O20" s="131" t="s">
        <v>185</v>
      </c>
      <c r="P20" s="131"/>
      <c r="Q20" s="131"/>
      <c r="R20" s="131"/>
      <c r="S20" s="131" t="s">
        <v>185</v>
      </c>
      <c r="T20" s="131"/>
      <c r="U20" s="131"/>
      <c r="V20" s="131"/>
      <c r="W20" s="131" t="s">
        <v>185</v>
      </c>
      <c r="X20" s="131"/>
      <c r="Y20" s="131"/>
      <c r="Z20" s="131"/>
      <c r="AA20" s="131" t="s">
        <v>185</v>
      </c>
      <c r="AB20" s="131"/>
      <c r="AC20" s="131"/>
      <c r="AD20" s="131"/>
      <c r="AE20" s="131" t="s">
        <v>185</v>
      </c>
      <c r="AF20" s="121"/>
    </row>
    <row r="21" spans="1:32" s="120" customFormat="1" x14ac:dyDescent="0.25">
      <c r="A21" s="11"/>
      <c r="C21" s="132" t="s">
        <v>221</v>
      </c>
      <c r="D21" s="131"/>
      <c r="E21" s="131"/>
      <c r="F21" s="131"/>
      <c r="G21" s="131" t="s">
        <v>222</v>
      </c>
      <c r="H21" s="131"/>
      <c r="I21" s="131"/>
      <c r="J21" s="131"/>
      <c r="K21" s="131" t="s">
        <v>223</v>
      </c>
      <c r="L21" s="131"/>
      <c r="M21" s="131"/>
      <c r="N21" s="131"/>
      <c r="O21" s="131" t="s">
        <v>224</v>
      </c>
      <c r="P21" s="131"/>
      <c r="Q21" s="131"/>
      <c r="R21" s="131"/>
      <c r="S21" s="131" t="s">
        <v>423</v>
      </c>
      <c r="T21" s="131"/>
      <c r="U21" s="131"/>
      <c r="V21" s="131"/>
      <c r="W21" s="131" t="s">
        <v>225</v>
      </c>
      <c r="X21" s="131"/>
      <c r="Y21" s="131"/>
      <c r="Z21" s="131"/>
      <c r="AA21" s="131" t="s">
        <v>226</v>
      </c>
      <c r="AB21" s="131"/>
      <c r="AC21" s="131"/>
      <c r="AD21" s="131"/>
      <c r="AE21" s="131" t="s">
        <v>227</v>
      </c>
    </row>
    <row r="22" spans="1:32" s="120" customFormat="1" x14ac:dyDescent="0.25">
      <c r="A22" s="11"/>
      <c r="E22" s="118"/>
      <c r="F22" s="121"/>
      <c r="G22" s="121"/>
      <c r="I22" s="118"/>
      <c r="J22" s="113"/>
    </row>
    <row r="23" spans="1:32" s="120" customFormat="1" x14ac:dyDescent="0.25">
      <c r="A23" s="11"/>
      <c r="E23" s="118"/>
    </row>
    <row r="24" spans="1:32" s="120" customFormat="1" ht="15.75" x14ac:dyDescent="0.25">
      <c r="A24" s="122"/>
      <c r="B24" s="123"/>
      <c r="F24" s="123"/>
      <c r="J24" s="124"/>
      <c r="N24" s="124"/>
      <c r="R24" s="124"/>
      <c r="V24" s="124"/>
      <c r="Z24" s="124"/>
      <c r="AD24" s="124"/>
    </row>
    <row r="25" spans="1:32" s="4" customFormat="1" x14ac:dyDescent="0.25">
      <c r="A25" s="7"/>
      <c r="R25" s="4" t="s">
        <v>424</v>
      </c>
    </row>
    <row r="26" spans="1:32" s="4" customFormat="1" x14ac:dyDescent="0.25">
      <c r="A26" s="7"/>
    </row>
    <row r="27" spans="1:32" s="4" customFormat="1" x14ac:dyDescent="0.25">
      <c r="A27" s="7"/>
    </row>
    <row r="28" spans="1:32" s="4" customFormat="1" x14ac:dyDescent="0.25">
      <c r="A28" s="7"/>
    </row>
    <row r="29" spans="1:32" s="4" customFormat="1" x14ac:dyDescent="0.25">
      <c r="A29" s="7"/>
    </row>
    <row r="30" spans="1:32" s="4" customFormat="1" x14ac:dyDescent="0.25">
      <c r="A30" s="7"/>
    </row>
    <row r="31" spans="1:32" s="4" customFormat="1" x14ac:dyDescent="0.25">
      <c r="A31" s="7"/>
    </row>
    <row r="32" spans="1:32" s="4" customFormat="1" x14ac:dyDescent="0.25">
      <c r="A32" s="7"/>
    </row>
    <row r="33" spans="1:1" s="4" customFormat="1" x14ac:dyDescent="0.25">
      <c r="A33" s="7"/>
    </row>
    <row r="34" spans="1:1" s="4" customFormat="1" x14ac:dyDescent="0.25">
      <c r="A34" s="7"/>
    </row>
    <row r="35" spans="1:1" s="4" customFormat="1" x14ac:dyDescent="0.25">
      <c r="A35" s="7"/>
    </row>
    <row r="36" spans="1:1" s="4" customFormat="1" x14ac:dyDescent="0.25">
      <c r="A36" s="7"/>
    </row>
    <row r="37" spans="1:1" s="4" customFormat="1" x14ac:dyDescent="0.25">
      <c r="A37" s="7"/>
    </row>
    <row r="38" spans="1:1" s="4" customFormat="1" x14ac:dyDescent="0.25">
      <c r="A38" s="7"/>
    </row>
    <row r="39" spans="1:1" s="4" customFormat="1" x14ac:dyDescent="0.25">
      <c r="A39" s="7"/>
    </row>
    <row r="40" spans="1:1" s="4" customFormat="1" x14ac:dyDescent="0.25">
      <c r="A40" s="7"/>
    </row>
    <row r="41" spans="1:1" s="4" customFormat="1" x14ac:dyDescent="0.25">
      <c r="A41" s="7"/>
    </row>
    <row r="42" spans="1:1" s="4" customFormat="1" x14ac:dyDescent="0.25">
      <c r="A42" s="7"/>
    </row>
    <row r="43" spans="1:1" s="4" customFormat="1" x14ac:dyDescent="0.25">
      <c r="A43" s="7"/>
    </row>
    <row r="44" spans="1:1" s="4" customFormat="1" x14ac:dyDescent="0.25">
      <c r="A44" s="7"/>
    </row>
    <row r="45" spans="1:1" s="4" customFormat="1" x14ac:dyDescent="0.25">
      <c r="A45" s="7"/>
    </row>
    <row r="46" spans="1:1" s="4" customFormat="1" x14ac:dyDescent="0.25">
      <c r="A46" s="7"/>
    </row>
    <row r="47" spans="1:1" s="4" customFormat="1" x14ac:dyDescent="0.25">
      <c r="A47" s="7"/>
    </row>
    <row r="48" spans="1:1" s="4" customFormat="1" x14ac:dyDescent="0.25">
      <c r="A48" s="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3"/>
  <dimension ref="A1:AF26"/>
  <sheetViews>
    <sheetView workbookViewId="0">
      <pane xSplit="1" topLeftCell="B1" activePane="topRight" state="frozen"/>
      <selection pane="topRight" activeCell="R32" sqref="R32"/>
    </sheetView>
  </sheetViews>
  <sheetFormatPr defaultColWidth="9.140625" defaultRowHeight="15" x14ac:dyDescent="0.25"/>
  <cols>
    <col min="1" max="1" width="9.140625" style="7"/>
    <col min="2" max="2" width="11" style="7" customWidth="1"/>
    <col min="3" max="3" width="12.140625" style="7" customWidth="1"/>
    <col min="4" max="16384" width="9.140625" style="7"/>
  </cols>
  <sheetData>
    <row r="1" spans="1:32" s="14" customFormat="1" x14ac:dyDescent="0.25">
      <c r="A1" s="14" t="s">
        <v>0</v>
      </c>
      <c r="B1" s="14" t="s">
        <v>71</v>
      </c>
      <c r="C1" s="14" t="s">
        <v>72</v>
      </c>
      <c r="D1" s="14" t="s">
        <v>23</v>
      </c>
      <c r="F1" s="14" t="s">
        <v>73</v>
      </c>
      <c r="G1" s="14" t="s">
        <v>74</v>
      </c>
      <c r="H1" s="14" t="s">
        <v>23</v>
      </c>
      <c r="J1" s="14" t="s">
        <v>75</v>
      </c>
      <c r="K1" s="14" t="s">
        <v>76</v>
      </c>
      <c r="L1" s="14" t="s">
        <v>23</v>
      </c>
      <c r="N1" s="14" t="s">
        <v>77</v>
      </c>
      <c r="O1" s="14" t="s">
        <v>78</v>
      </c>
      <c r="P1" s="14" t="s">
        <v>23</v>
      </c>
      <c r="R1" s="14" t="s">
        <v>79</v>
      </c>
      <c r="S1" s="14" t="s">
        <v>79</v>
      </c>
      <c r="T1" s="14" t="s">
        <v>23</v>
      </c>
      <c r="V1" s="14" t="s">
        <v>80</v>
      </c>
      <c r="W1" s="14" t="s">
        <v>80</v>
      </c>
      <c r="X1" s="14" t="s">
        <v>23</v>
      </c>
      <c r="Z1" s="14" t="s">
        <v>81</v>
      </c>
      <c r="AA1" s="14" t="s">
        <v>82</v>
      </c>
      <c r="AB1" s="14" t="s">
        <v>23</v>
      </c>
      <c r="AD1" s="14" t="s">
        <v>83</v>
      </c>
      <c r="AE1" s="14" t="s">
        <v>84</v>
      </c>
      <c r="AF1" s="14" t="s">
        <v>23</v>
      </c>
    </row>
    <row r="2" spans="1:32" x14ac:dyDescent="0.25">
      <c r="A2" s="53" t="s">
        <v>11</v>
      </c>
      <c r="B2" s="112">
        <v>153.01633333333334</v>
      </c>
      <c r="C2" s="112">
        <v>160.07933333333335</v>
      </c>
      <c r="D2" s="7">
        <f>(C2-B2)/B2*100</f>
        <v>4.6158471100035179</v>
      </c>
      <c r="F2" s="112">
        <v>155.36600000000001</v>
      </c>
      <c r="G2" s="112">
        <v>164.56899999999999</v>
      </c>
      <c r="H2" s="7">
        <f>(G2-F2)/F2*100</f>
        <v>5.9234324112096424</v>
      </c>
      <c r="J2" s="112">
        <v>10.329333333333333</v>
      </c>
      <c r="K2" s="112">
        <v>9.9193333333333342</v>
      </c>
      <c r="L2" s="7">
        <f>(K2-J2)/J2*100</f>
        <v>-3.9692784303601236</v>
      </c>
      <c r="N2" s="112">
        <v>11.057</v>
      </c>
      <c r="O2" s="112">
        <v>11.305</v>
      </c>
      <c r="P2" s="7">
        <f>(O2-N2)/N2*100</f>
        <v>2.242923035181327</v>
      </c>
      <c r="R2" s="112">
        <v>169.80866666666665</v>
      </c>
      <c r="S2" s="112">
        <v>179.53933333333336</v>
      </c>
      <c r="T2" s="7">
        <f>(S2-R2)/R2*100</f>
        <v>5.7303710450585807</v>
      </c>
      <c r="V2" s="112">
        <v>174.096</v>
      </c>
      <c r="W2" s="112">
        <v>185.67699999999999</v>
      </c>
      <c r="X2" s="7">
        <f>(W2-V2)/V2*100</f>
        <v>6.6520770149802342</v>
      </c>
      <c r="Z2" s="112">
        <v>133.57633333333334</v>
      </c>
      <c r="AA2" s="112">
        <v>135.99233333333333</v>
      </c>
      <c r="AB2" s="7">
        <f>(AA2-Z2)/Z2*100</f>
        <v>1.8087036376204342</v>
      </c>
      <c r="AD2" s="112">
        <v>134.75899999999999</v>
      </c>
      <c r="AE2" s="112">
        <v>138.79499999999999</v>
      </c>
      <c r="AF2" s="7">
        <f>(AE2-AD2)/AD2*100</f>
        <v>2.9949762168018474</v>
      </c>
    </row>
    <row r="3" spans="1:32" x14ac:dyDescent="0.25">
      <c r="A3" s="53" t="s">
        <v>10</v>
      </c>
      <c r="B3" s="112">
        <v>172.87033333333332</v>
      </c>
      <c r="C3" s="11">
        <v>177.37</v>
      </c>
      <c r="D3" s="7">
        <f t="shared" ref="D3:D13" si="0">(C3-B3)/B3*100</f>
        <v>2.6029143230668175</v>
      </c>
      <c r="F3" s="112">
        <v>181.92099999999999</v>
      </c>
      <c r="G3" s="11">
        <v>182.6</v>
      </c>
      <c r="H3" s="7">
        <f t="shared" ref="H3:H15" si="1">(G3-F3)/F3*100</f>
        <v>0.37323893338317299</v>
      </c>
      <c r="J3" s="112">
        <v>14.645333333333332</v>
      </c>
      <c r="K3" s="11">
        <v>12.04</v>
      </c>
      <c r="L3" s="7">
        <f t="shared" ref="L3:L15" si="2">(K3-J3)/J3*100</f>
        <v>-17.789512017479968</v>
      </c>
      <c r="N3" s="112">
        <v>16.972999999999999</v>
      </c>
      <c r="O3" s="11">
        <v>13.25</v>
      </c>
      <c r="P3" s="7">
        <f t="shared" ref="P3:P15" si="3">(O3-N3)/N3*100</f>
        <v>-21.934837683379481</v>
      </c>
      <c r="R3" s="112">
        <v>173.72266666666667</v>
      </c>
      <c r="S3" s="11">
        <v>185.89</v>
      </c>
      <c r="T3" s="7">
        <f t="shared" ref="T3:T15" si="4">(S3-R3)/R3*100</f>
        <v>7.0038835845638943</v>
      </c>
      <c r="V3" s="112">
        <v>189.172</v>
      </c>
      <c r="W3" s="11">
        <v>200.38</v>
      </c>
      <c r="X3" s="7">
        <f t="shared" ref="X3:X15" si="5">(W3-V3)/V3*100</f>
        <v>5.9247668788192751</v>
      </c>
      <c r="Z3" s="112">
        <v>119.904</v>
      </c>
      <c r="AA3" s="11">
        <v>125.36</v>
      </c>
      <c r="AB3" s="7">
        <f t="shared" ref="AB3:AB15" si="6">(AA3-Z3)/Z3*100</f>
        <v>4.5503069121964268</v>
      </c>
      <c r="AD3" s="112">
        <v>124.496</v>
      </c>
      <c r="AE3" s="11">
        <v>132.11000000000001</v>
      </c>
      <c r="AF3" s="7">
        <f t="shared" ref="AF3:AF15" si="7">(AE3-AD3)/AD3*100</f>
        <v>6.1158591440689012</v>
      </c>
    </row>
    <row r="4" spans="1:32" x14ac:dyDescent="0.25">
      <c r="A4" s="53" t="s">
        <v>12</v>
      </c>
      <c r="B4" s="112">
        <v>126.52966666666667</v>
      </c>
      <c r="C4" s="112">
        <v>137.44966666666664</v>
      </c>
      <c r="D4" s="7">
        <f t="shared" si="0"/>
        <v>8.6303870765485602</v>
      </c>
      <c r="F4" s="112">
        <v>127.792</v>
      </c>
      <c r="G4" s="112">
        <v>146.74199999999999</v>
      </c>
      <c r="H4" s="7">
        <f t="shared" si="1"/>
        <v>14.828784274445967</v>
      </c>
      <c r="J4" s="112">
        <v>8.6596666666666664</v>
      </c>
      <c r="K4" s="112">
        <v>7.0813333333333333</v>
      </c>
      <c r="L4" s="7">
        <f t="shared" si="2"/>
        <v>-18.226259671272949</v>
      </c>
      <c r="N4" s="112">
        <v>9.3529999999999998</v>
      </c>
      <c r="O4" s="112">
        <v>8.0830000000000002</v>
      </c>
      <c r="P4" s="7">
        <f t="shared" si="3"/>
        <v>-13.578530952635514</v>
      </c>
      <c r="R4" s="112">
        <v>134.03366666666668</v>
      </c>
      <c r="S4" s="112">
        <v>189.02033333333335</v>
      </c>
      <c r="T4" s="7">
        <f t="shared" si="4"/>
        <v>41.024518715447122</v>
      </c>
      <c r="V4" s="112">
        <v>136.61500000000001</v>
      </c>
      <c r="W4" s="112">
        <v>213.25800000000001</v>
      </c>
      <c r="X4" s="7">
        <f t="shared" si="5"/>
        <v>56.101452988324851</v>
      </c>
      <c r="Z4" s="112">
        <v>126.82</v>
      </c>
      <c r="AA4" s="112">
        <v>164.23966666666669</v>
      </c>
      <c r="AB4" s="7">
        <f t="shared" si="6"/>
        <v>29.506124165483914</v>
      </c>
      <c r="AD4" s="112">
        <v>128.06299999999999</v>
      </c>
      <c r="AE4" s="112">
        <v>173.494</v>
      </c>
      <c r="AF4" s="7">
        <f t="shared" si="7"/>
        <v>35.475508148333255</v>
      </c>
    </row>
    <row r="5" spans="1:32" s="31" customFormat="1" x14ac:dyDescent="0.25">
      <c r="A5" s="31" t="s">
        <v>13</v>
      </c>
      <c r="B5" s="125">
        <v>155.29400000000001</v>
      </c>
      <c r="C5" s="125">
        <v>151.62800000000001</v>
      </c>
      <c r="D5" s="31">
        <f t="shared" si="0"/>
        <v>-2.3606836065784877</v>
      </c>
      <c r="F5" s="125">
        <v>160.03700000000001</v>
      </c>
      <c r="G5" s="125">
        <v>152.09</v>
      </c>
      <c r="H5" s="31">
        <f t="shared" si="1"/>
        <v>-4.9657266757062448</v>
      </c>
      <c r="J5" s="125">
        <v>12.837333333333333</v>
      </c>
      <c r="K5" s="125">
        <v>12.365333333333334</v>
      </c>
      <c r="L5" s="31">
        <f t="shared" si="2"/>
        <v>-3.6767760697964231</v>
      </c>
      <c r="N5" s="125">
        <v>13.397</v>
      </c>
      <c r="O5" s="125">
        <v>12.63</v>
      </c>
      <c r="P5" s="31">
        <f t="shared" si="3"/>
        <v>-5.7251623497797972</v>
      </c>
      <c r="R5" s="125">
        <v>182.87400000000002</v>
      </c>
      <c r="S5" s="125">
        <v>184.23400000000001</v>
      </c>
      <c r="T5" s="31">
        <f t="shared" si="4"/>
        <v>0.74368144186706975</v>
      </c>
      <c r="V5" s="125">
        <v>191.089</v>
      </c>
      <c r="W5" s="125">
        <v>184.351</v>
      </c>
      <c r="X5" s="31">
        <f t="shared" si="5"/>
        <v>-3.5261056366405183</v>
      </c>
      <c r="Z5" s="125">
        <v>142.10166666666669</v>
      </c>
      <c r="AA5" s="125">
        <v>146.49966666666668</v>
      </c>
      <c r="AB5" s="31">
        <f t="shared" si="6"/>
        <v>3.094967218306139</v>
      </c>
      <c r="AD5" s="125">
        <v>145.245</v>
      </c>
      <c r="AE5" s="125">
        <v>147.315</v>
      </c>
      <c r="AF5" s="31">
        <f t="shared" si="7"/>
        <v>1.4251781472684037</v>
      </c>
    </row>
    <row r="6" spans="1:32" s="31" customFormat="1" x14ac:dyDescent="0.25">
      <c r="A6" s="31" t="s">
        <v>14</v>
      </c>
      <c r="B6" s="125">
        <v>179.154</v>
      </c>
      <c r="C6" s="125">
        <v>190.37066666666666</v>
      </c>
      <c r="D6" s="31">
        <f t="shared" si="0"/>
        <v>6.2609077478965967</v>
      </c>
      <c r="F6" s="125">
        <v>184.1</v>
      </c>
      <c r="G6" s="125">
        <v>191.85400000000001</v>
      </c>
      <c r="H6" s="31">
        <f t="shared" si="1"/>
        <v>4.2118413905486252</v>
      </c>
      <c r="J6" s="125">
        <v>15.012333333333336</v>
      </c>
      <c r="K6" s="125">
        <v>14.944000000000001</v>
      </c>
      <c r="L6" s="31">
        <f t="shared" si="2"/>
        <v>-0.45518129537936669</v>
      </c>
      <c r="N6" s="125">
        <v>15.791</v>
      </c>
      <c r="O6" s="125">
        <v>15.268000000000001</v>
      </c>
      <c r="P6" s="31">
        <f t="shared" si="3"/>
        <v>-3.3120131720600319</v>
      </c>
      <c r="R6" s="125">
        <v>183.25666666666666</v>
      </c>
      <c r="S6" s="125">
        <v>238.95899999999997</v>
      </c>
      <c r="T6" s="31">
        <f t="shared" si="4"/>
        <v>30.3958018807865</v>
      </c>
      <c r="V6" s="125">
        <v>189.399</v>
      </c>
      <c r="W6" s="125">
        <v>239.31899999999999</v>
      </c>
      <c r="X6" s="31">
        <f t="shared" si="5"/>
        <v>26.357055739470635</v>
      </c>
      <c r="Z6" s="125">
        <v>122.59633333333333</v>
      </c>
      <c r="AA6" s="125">
        <v>151.81533333333334</v>
      </c>
      <c r="AB6" s="31">
        <f t="shared" si="6"/>
        <v>23.833502361408314</v>
      </c>
      <c r="AD6" s="125">
        <v>124.13800000000001</v>
      </c>
      <c r="AE6" s="125">
        <v>155.95699999999999</v>
      </c>
      <c r="AF6" s="31">
        <f t="shared" si="7"/>
        <v>25.631957982245556</v>
      </c>
    </row>
    <row r="7" spans="1:32" s="31" customFormat="1" x14ac:dyDescent="0.25">
      <c r="A7" s="31" t="s">
        <v>15</v>
      </c>
      <c r="B7" s="125">
        <v>138.00800000000001</v>
      </c>
      <c r="C7" s="125">
        <v>147.94900000000001</v>
      </c>
      <c r="D7" s="31">
        <f t="shared" si="0"/>
        <v>7.2032056112689133</v>
      </c>
      <c r="F7" s="125">
        <v>142.47999999999999</v>
      </c>
      <c r="G7" s="125">
        <v>149.179</v>
      </c>
      <c r="H7" s="31">
        <f t="shared" si="1"/>
        <v>4.7017125210555957</v>
      </c>
      <c r="J7" s="125">
        <v>11.371333333333334</v>
      </c>
      <c r="K7" s="125">
        <v>11.269</v>
      </c>
      <c r="L7" s="31">
        <f t="shared" si="2"/>
        <v>-0.89992378495632919</v>
      </c>
      <c r="N7" s="125">
        <v>11.922000000000001</v>
      </c>
      <c r="O7" s="125">
        <v>11.457000000000001</v>
      </c>
      <c r="P7" s="31">
        <f t="shared" si="3"/>
        <v>-3.9003522898842466</v>
      </c>
      <c r="R7" s="125">
        <v>149.95600000000002</v>
      </c>
      <c r="S7" s="125">
        <v>169.20900000000003</v>
      </c>
      <c r="T7" s="31">
        <f t="shared" si="4"/>
        <v>12.839099469177635</v>
      </c>
      <c r="V7" s="125">
        <v>154.43</v>
      </c>
      <c r="W7" s="125">
        <v>175.751</v>
      </c>
      <c r="X7" s="31">
        <f t="shared" si="5"/>
        <v>13.806255261283429</v>
      </c>
      <c r="Z7" s="125">
        <v>132.071</v>
      </c>
      <c r="AA7" s="125">
        <v>138.14066666666668</v>
      </c>
      <c r="AB7" s="31">
        <f t="shared" si="6"/>
        <v>4.595760361219857</v>
      </c>
      <c r="AD7" s="125">
        <v>136.42099999999999</v>
      </c>
      <c r="AE7" s="125">
        <v>143.64099999999999</v>
      </c>
      <c r="AF7" s="31">
        <f t="shared" si="7"/>
        <v>5.292440313441479</v>
      </c>
    </row>
    <row r="8" spans="1:32" s="31" customFormat="1" x14ac:dyDescent="0.25">
      <c r="A8" s="31" t="s">
        <v>16</v>
      </c>
      <c r="B8" s="125">
        <v>181.35866666666666</v>
      </c>
      <c r="C8" s="125">
        <v>181.25933333333333</v>
      </c>
      <c r="D8" s="31">
        <f t="shared" si="0"/>
        <v>-5.4771759827671469E-2</v>
      </c>
      <c r="F8" s="125">
        <v>184.97</v>
      </c>
      <c r="G8" s="125">
        <v>183.10599999999999</v>
      </c>
      <c r="H8" s="31">
        <f t="shared" si="1"/>
        <v>-1.0077309834027164</v>
      </c>
      <c r="J8" s="125">
        <v>15.847999999999999</v>
      </c>
      <c r="K8" s="125">
        <v>16.403333333333332</v>
      </c>
      <c r="L8" s="31">
        <f t="shared" si="2"/>
        <v>3.5041224970553606</v>
      </c>
      <c r="N8" s="125">
        <v>17.268999999999998</v>
      </c>
      <c r="O8" s="125">
        <v>17.311</v>
      </c>
      <c r="P8" s="31">
        <f t="shared" si="3"/>
        <v>0.24321037697609357</v>
      </c>
      <c r="R8" s="125">
        <v>165.02433333333332</v>
      </c>
      <c r="S8" s="125">
        <v>172.21199999999999</v>
      </c>
      <c r="T8" s="31">
        <f t="shared" si="4"/>
        <v>4.3555192870546398</v>
      </c>
      <c r="V8" s="125">
        <v>170.37899999999999</v>
      </c>
      <c r="W8" s="125">
        <v>174.81</v>
      </c>
      <c r="X8" s="31">
        <f t="shared" si="5"/>
        <v>2.6006726181043507</v>
      </c>
      <c r="Z8" s="125">
        <v>118.15866666666666</v>
      </c>
      <c r="AA8" s="125">
        <v>113.73666666666668</v>
      </c>
      <c r="AB8" s="31">
        <f t="shared" si="6"/>
        <v>-3.7424254392398777</v>
      </c>
      <c r="AD8" s="125">
        <v>139.227</v>
      </c>
      <c r="AE8" s="125">
        <v>116.75700000000001</v>
      </c>
      <c r="AF8" s="31">
        <f t="shared" si="7"/>
        <v>-16.13911094830744</v>
      </c>
    </row>
    <row r="9" spans="1:32" s="31" customFormat="1" x14ac:dyDescent="0.25">
      <c r="A9" s="31" t="s">
        <v>112</v>
      </c>
      <c r="B9" s="117">
        <v>145.83600000000001</v>
      </c>
      <c r="C9" s="125">
        <v>139.994</v>
      </c>
      <c r="D9" s="31">
        <f t="shared" si="0"/>
        <v>-4.0058696069557671</v>
      </c>
      <c r="F9" s="117">
        <v>146.24700000000001</v>
      </c>
      <c r="G9" s="125">
        <v>153.48099999999999</v>
      </c>
      <c r="H9" s="31">
        <f t="shared" si="1"/>
        <v>4.9464262514786483</v>
      </c>
      <c r="J9" s="117">
        <v>8.5900000000000016</v>
      </c>
      <c r="K9" s="125">
        <v>4.7413333333333334</v>
      </c>
      <c r="L9" s="31">
        <f t="shared" si="2"/>
        <v>-44.804035700426866</v>
      </c>
      <c r="N9" s="117">
        <v>9.6289999999999996</v>
      </c>
      <c r="O9" s="125">
        <v>7.7839999999999998</v>
      </c>
      <c r="P9" s="31">
        <f t="shared" si="3"/>
        <v>-19.160868210613767</v>
      </c>
      <c r="R9" s="117">
        <v>173.29100000000003</v>
      </c>
      <c r="S9" s="125">
        <v>199.64733333333334</v>
      </c>
      <c r="T9" s="31">
        <f t="shared" si="4"/>
        <v>15.209291500039418</v>
      </c>
      <c r="V9" s="117">
        <v>177.78200000000001</v>
      </c>
      <c r="W9" s="125">
        <v>203.13399999999999</v>
      </c>
      <c r="X9" s="31">
        <f t="shared" si="5"/>
        <v>14.260161321168606</v>
      </c>
      <c r="Z9" s="117">
        <v>142.55433333333335</v>
      </c>
      <c r="AA9" s="125">
        <v>170.10566666666668</v>
      </c>
      <c r="AB9" s="31">
        <f t="shared" si="6"/>
        <v>19.326899918861344</v>
      </c>
      <c r="AD9" s="117">
        <v>146.19300000000001</v>
      </c>
      <c r="AE9" s="125">
        <v>177.77799999999999</v>
      </c>
      <c r="AF9" s="31">
        <f t="shared" si="7"/>
        <v>21.605001607464089</v>
      </c>
    </row>
    <row r="10" spans="1:32" s="31" customFormat="1" x14ac:dyDescent="0.25">
      <c r="A10" s="31" t="s">
        <v>113</v>
      </c>
      <c r="B10" s="117">
        <v>146.042</v>
      </c>
      <c r="C10" s="115">
        <v>162.08633333333333</v>
      </c>
      <c r="D10" s="31">
        <f t="shared" si="0"/>
        <v>10.986109018866715</v>
      </c>
      <c r="F10" s="117">
        <v>148.881</v>
      </c>
      <c r="G10" s="115">
        <v>164.43600000000001</v>
      </c>
      <c r="H10" s="31">
        <f t="shared" si="1"/>
        <v>10.447941644669237</v>
      </c>
      <c r="J10" s="117">
        <v>14.653666666666666</v>
      </c>
      <c r="K10" s="115">
        <v>12.559666666666667</v>
      </c>
      <c r="L10" s="31">
        <f t="shared" si="2"/>
        <v>-14.289938809399235</v>
      </c>
      <c r="N10" s="117">
        <v>15.528</v>
      </c>
      <c r="O10" s="115">
        <v>13.553000000000001</v>
      </c>
      <c r="P10" s="31">
        <f t="shared" si="3"/>
        <v>-12.71895929933024</v>
      </c>
      <c r="R10" s="117">
        <v>199.08199999999999</v>
      </c>
      <c r="S10" s="115">
        <v>211.35166666666669</v>
      </c>
      <c r="T10" s="31">
        <f t="shared" si="4"/>
        <v>6.1631220636052957</v>
      </c>
      <c r="V10" s="117">
        <v>206.143</v>
      </c>
      <c r="W10" s="115">
        <v>215.90199999999999</v>
      </c>
      <c r="X10" s="31">
        <f t="shared" si="5"/>
        <v>4.7340923533663464</v>
      </c>
      <c r="Z10" s="117">
        <v>163.78266666666664</v>
      </c>
      <c r="AA10" s="115">
        <v>155.44966666666667</v>
      </c>
      <c r="AB10" s="31">
        <f t="shared" si="6"/>
        <v>-5.0878399830669743</v>
      </c>
      <c r="AD10" s="117">
        <v>166.33699999999999</v>
      </c>
      <c r="AE10" s="115">
        <v>159.494</v>
      </c>
      <c r="AF10" s="31">
        <f t="shared" si="7"/>
        <v>-4.1139373681141231</v>
      </c>
    </row>
    <row r="11" spans="1:32" s="31" customFormat="1" x14ac:dyDescent="0.25">
      <c r="A11" s="31" t="s">
        <v>114</v>
      </c>
      <c r="B11" s="117">
        <v>136.73766666666666</v>
      </c>
      <c r="C11" s="31">
        <v>140.52866666666668</v>
      </c>
      <c r="D11" s="31">
        <f t="shared" si="0"/>
        <v>2.7724621111471546</v>
      </c>
      <c r="F11" s="117">
        <v>141.17699999999999</v>
      </c>
      <c r="G11" s="31">
        <v>143.08199999999999</v>
      </c>
      <c r="H11" s="31">
        <f t="shared" si="1"/>
        <v>1.3493699398627264</v>
      </c>
      <c r="J11" s="117">
        <v>10.656666666666666</v>
      </c>
      <c r="K11" s="31">
        <v>10.659333333333333</v>
      </c>
      <c r="L11" s="31">
        <f t="shared" si="2"/>
        <v>2.5023459493272192E-2</v>
      </c>
      <c r="N11" s="117">
        <v>12.56</v>
      </c>
      <c r="O11" s="31">
        <v>11.195</v>
      </c>
      <c r="P11" s="31">
        <f t="shared" si="3"/>
        <v>-10.86783439490446</v>
      </c>
      <c r="R11" s="117">
        <v>182.86766666666668</v>
      </c>
      <c r="S11" s="31">
        <v>184.48533333333333</v>
      </c>
      <c r="T11" s="31">
        <f t="shared" si="4"/>
        <v>0.88461054715339715</v>
      </c>
      <c r="V11" s="117">
        <v>201.37200000000001</v>
      </c>
      <c r="W11" s="31">
        <v>188.679</v>
      </c>
      <c r="X11" s="31">
        <f t="shared" si="5"/>
        <v>-6.3032596388773081</v>
      </c>
      <c r="Z11" s="117">
        <v>161.084</v>
      </c>
      <c r="AA11" s="31">
        <v>157.39199999999997</v>
      </c>
      <c r="AB11" s="31">
        <f t="shared" si="6"/>
        <v>-2.2919718904422757</v>
      </c>
      <c r="AD11" s="117">
        <v>176.68700000000001</v>
      </c>
      <c r="AE11" s="31">
        <v>158.678</v>
      </c>
      <c r="AF11" s="31">
        <f t="shared" si="7"/>
        <v>-10.192600474285042</v>
      </c>
    </row>
    <row r="12" spans="1:32" s="31" customFormat="1" x14ac:dyDescent="0.25">
      <c r="A12" s="31" t="s">
        <v>115</v>
      </c>
      <c r="B12" s="117">
        <v>162.35833333333332</v>
      </c>
      <c r="C12" s="115">
        <v>164.35900000000001</v>
      </c>
      <c r="D12" s="31">
        <f t="shared" si="0"/>
        <v>1.2322537596879468</v>
      </c>
      <c r="F12" s="117">
        <v>170.31899999999999</v>
      </c>
      <c r="G12" s="115">
        <v>166.851</v>
      </c>
      <c r="H12" s="31">
        <f t="shared" si="1"/>
        <v>-2.0361791696757203</v>
      </c>
      <c r="J12" s="117">
        <v>11.072000000000001</v>
      </c>
      <c r="K12" s="115">
        <v>12.903666666666666</v>
      </c>
      <c r="L12" s="31">
        <f t="shared" si="2"/>
        <v>16.543232177263956</v>
      </c>
      <c r="N12" s="117">
        <v>13.151</v>
      </c>
      <c r="O12" s="115">
        <v>14.257</v>
      </c>
      <c r="P12" s="31">
        <f t="shared" si="3"/>
        <v>8.4100068435860376</v>
      </c>
      <c r="R12" s="117">
        <v>190.19433333333336</v>
      </c>
      <c r="S12" s="115">
        <v>185.59766666666667</v>
      </c>
      <c r="T12" s="31">
        <f t="shared" si="4"/>
        <v>-2.4168262987155376</v>
      </c>
      <c r="V12" s="117">
        <v>199.59200000000001</v>
      </c>
      <c r="W12" s="115">
        <v>189.78299999999999</v>
      </c>
      <c r="X12" s="31">
        <f t="shared" si="5"/>
        <v>-4.9145256322898838</v>
      </c>
      <c r="Z12" s="117">
        <v>143.3176666666667</v>
      </c>
      <c r="AA12" s="115">
        <v>135.97633333333332</v>
      </c>
      <c r="AB12" s="31">
        <f t="shared" si="6"/>
        <v>-5.1224203575739997</v>
      </c>
      <c r="AD12" s="117">
        <v>148.45400000000001</v>
      </c>
      <c r="AE12" s="115">
        <v>136.58500000000001</v>
      </c>
      <c r="AF12" s="31">
        <f t="shared" si="7"/>
        <v>-7.9950691796785529</v>
      </c>
    </row>
    <row r="13" spans="1:32" s="31" customFormat="1" x14ac:dyDescent="0.25">
      <c r="A13" s="31" t="s">
        <v>117</v>
      </c>
      <c r="B13" s="31">
        <v>181.77499999999998</v>
      </c>
      <c r="C13" s="115">
        <v>179.3663333333333</v>
      </c>
      <c r="D13" s="31">
        <f t="shared" si="0"/>
        <v>-1.3250813734928764</v>
      </c>
      <c r="F13" s="31">
        <v>185.37299999999999</v>
      </c>
      <c r="G13" s="115">
        <v>183.53100000000001</v>
      </c>
      <c r="H13" s="31">
        <f t="shared" si="1"/>
        <v>-0.99367221763686442</v>
      </c>
      <c r="J13" s="31">
        <v>9.5399999999999991</v>
      </c>
      <c r="K13" s="115">
        <v>9.0086666666666666</v>
      </c>
      <c r="L13" s="31">
        <f t="shared" si="2"/>
        <v>-5.5695317959468822</v>
      </c>
      <c r="N13" s="31">
        <v>10.087999999999999</v>
      </c>
      <c r="O13" s="115">
        <v>9.8580000000000005</v>
      </c>
      <c r="P13" s="31">
        <f t="shared" si="3"/>
        <v>-2.2799365582870603</v>
      </c>
      <c r="R13" s="31">
        <v>208.22500000000002</v>
      </c>
      <c r="S13" s="115">
        <v>230.01199999999997</v>
      </c>
      <c r="T13" s="31">
        <f t="shared" si="4"/>
        <v>10.463200864449488</v>
      </c>
      <c r="V13" s="31">
        <v>213.892</v>
      </c>
      <c r="W13" s="115">
        <v>242.28200000000001</v>
      </c>
      <c r="X13" s="31">
        <f t="shared" si="5"/>
        <v>13.273053690647624</v>
      </c>
      <c r="Z13" s="31">
        <v>137.03833333333333</v>
      </c>
      <c r="AA13" s="115">
        <v>153.90199999999999</v>
      </c>
      <c r="AB13" s="31">
        <f t="shared" si="6"/>
        <v>12.30580251267893</v>
      </c>
      <c r="AD13" s="31">
        <v>138.90700000000001</v>
      </c>
      <c r="AE13" s="115">
        <v>158.24199999999999</v>
      </c>
      <c r="AF13" s="31">
        <f t="shared" si="7"/>
        <v>13.919384912207434</v>
      </c>
    </row>
    <row r="14" spans="1:32" s="31" customFormat="1" x14ac:dyDescent="0.25">
      <c r="A14" s="31" t="s">
        <v>121</v>
      </c>
      <c r="B14" s="115">
        <v>155.596</v>
      </c>
      <c r="C14" s="115">
        <v>153.48766666666666</v>
      </c>
      <c r="D14" s="31">
        <f>(C14-B14)/B14*100</f>
        <v>-1.3550048415983369</v>
      </c>
      <c r="F14" s="115">
        <v>156.941</v>
      </c>
      <c r="G14" s="115">
        <v>156.08799999999999</v>
      </c>
      <c r="H14" s="31">
        <f t="shared" si="1"/>
        <v>-0.54351635327926329</v>
      </c>
      <c r="J14" s="115">
        <v>11.461</v>
      </c>
      <c r="K14" s="115">
        <v>13.436999999999999</v>
      </c>
      <c r="L14" s="31">
        <f t="shared" si="2"/>
        <v>17.241078439926699</v>
      </c>
      <c r="N14" s="115">
        <v>12.208</v>
      </c>
      <c r="O14" s="115">
        <v>13.763999999999999</v>
      </c>
      <c r="P14" s="31">
        <f t="shared" si="3"/>
        <v>12.745740498034069</v>
      </c>
      <c r="R14" s="115">
        <v>177.41533333333334</v>
      </c>
      <c r="S14" s="115">
        <v>178.42999999999998</v>
      </c>
      <c r="T14" s="31">
        <f t="shared" si="4"/>
        <v>0.57191599373220769</v>
      </c>
      <c r="V14" s="115">
        <v>185.92699999999999</v>
      </c>
      <c r="W14" s="115">
        <v>186.44800000000001</v>
      </c>
      <c r="X14" s="31">
        <f t="shared" si="5"/>
        <v>0.28021750471960233</v>
      </c>
      <c r="Z14" s="115">
        <v>137.87433333333334</v>
      </c>
      <c r="AA14" s="115">
        <v>141.54666666666665</v>
      </c>
      <c r="AB14" s="31">
        <f t="shared" si="6"/>
        <v>2.6635366021715279</v>
      </c>
      <c r="AD14" s="115">
        <v>137.87433333333334</v>
      </c>
      <c r="AE14" s="115">
        <v>151.97900000000001</v>
      </c>
      <c r="AF14" s="31">
        <f t="shared" si="7"/>
        <v>10.230088752317936</v>
      </c>
    </row>
    <row r="15" spans="1:32" s="104" customFormat="1" x14ac:dyDescent="0.25">
      <c r="A15" s="53" t="s">
        <v>122</v>
      </c>
      <c r="B15" s="126">
        <v>151.56666666666663</v>
      </c>
      <c r="C15" s="126">
        <v>150.88666666666666</v>
      </c>
      <c r="D15" s="53">
        <f>(C15-B15)/B15*100</f>
        <v>-0.44864745986363219</v>
      </c>
      <c r="E15" s="53"/>
      <c r="F15" s="126">
        <v>153.77099999999999</v>
      </c>
      <c r="G15" s="126">
        <v>152.69399999999999</v>
      </c>
      <c r="H15" s="53">
        <f t="shared" si="1"/>
        <v>-0.70039214156115148</v>
      </c>
      <c r="I15" s="53"/>
      <c r="J15" s="126">
        <v>12.51</v>
      </c>
      <c r="K15" s="126">
        <v>10.914333333333333</v>
      </c>
      <c r="L15" s="53">
        <f t="shared" si="2"/>
        <v>-12.755129229949372</v>
      </c>
      <c r="M15" s="53"/>
      <c r="N15" s="126">
        <v>14.316000000000001</v>
      </c>
      <c r="O15" s="126">
        <v>12.368</v>
      </c>
      <c r="P15" s="53">
        <f t="shared" si="3"/>
        <v>-13.607152835987707</v>
      </c>
      <c r="Q15" s="53"/>
      <c r="R15" s="126">
        <v>157.75966666666667</v>
      </c>
      <c r="S15" s="126">
        <v>162.37866666666665</v>
      </c>
      <c r="T15" s="53">
        <f t="shared" si="4"/>
        <v>2.9278712979024872</v>
      </c>
      <c r="U15" s="53"/>
      <c r="V15" s="126">
        <v>159.07300000000001</v>
      </c>
      <c r="W15" s="126">
        <v>167.59100000000001</v>
      </c>
      <c r="X15" s="53">
        <f t="shared" si="5"/>
        <v>5.354774223155407</v>
      </c>
      <c r="Z15" s="127">
        <v>127.20233333333333</v>
      </c>
      <c r="AA15" s="127">
        <v>129.15733333333333</v>
      </c>
      <c r="AB15" s="128">
        <f t="shared" si="6"/>
        <v>1.5369214925302721</v>
      </c>
      <c r="AC15" s="128"/>
      <c r="AD15" s="127">
        <v>130.31700000000001</v>
      </c>
      <c r="AE15" s="127">
        <v>131.59299999999999</v>
      </c>
      <c r="AF15" s="128">
        <f t="shared" si="7"/>
        <v>0.97915083987505991</v>
      </c>
    </row>
    <row r="16" spans="1:32" s="104" customFormat="1" x14ac:dyDescent="0.25">
      <c r="A16" s="100" t="s">
        <v>123</v>
      </c>
      <c r="B16" s="89" t="s">
        <v>184</v>
      </c>
      <c r="C16" s="102"/>
      <c r="D16" s="103"/>
      <c r="E16" s="53"/>
      <c r="F16" s="89" t="s">
        <v>184</v>
      </c>
      <c r="G16" s="102"/>
      <c r="H16" s="103"/>
      <c r="I16" s="53"/>
      <c r="J16" s="89" t="s">
        <v>184</v>
      </c>
      <c r="K16" s="102"/>
      <c r="L16" s="103"/>
      <c r="M16" s="53"/>
      <c r="N16" s="89" t="s">
        <v>184</v>
      </c>
      <c r="O16" s="102"/>
      <c r="P16" s="103"/>
      <c r="Q16" s="53"/>
      <c r="R16" s="89" t="s">
        <v>184</v>
      </c>
      <c r="S16" s="102"/>
      <c r="T16" s="103"/>
      <c r="U16" s="53"/>
      <c r="V16" s="129" t="s">
        <v>184</v>
      </c>
      <c r="W16" s="126"/>
      <c r="X16" s="53"/>
      <c r="Z16" s="129" t="s">
        <v>184</v>
      </c>
      <c r="AA16" s="127"/>
      <c r="AB16" s="128"/>
      <c r="AC16" s="128"/>
      <c r="AD16" s="129" t="s">
        <v>184</v>
      </c>
      <c r="AE16" s="127"/>
      <c r="AF16" s="128"/>
    </row>
    <row r="17" spans="1:32" s="104" customFormat="1" x14ac:dyDescent="0.25">
      <c r="A17" s="14" t="s">
        <v>17</v>
      </c>
      <c r="B17" s="130">
        <f>AVERAGE(B2:B16)</f>
        <v>156.15304761904761</v>
      </c>
      <c r="C17" s="130">
        <f t="shared" ref="C17:AF17" si="8">AVERAGE(C2:C16)</f>
        <v>159.7724761904762</v>
      </c>
      <c r="D17" s="130">
        <f t="shared" si="8"/>
        <v>2.4824305792978185</v>
      </c>
      <c r="E17" s="130"/>
      <c r="F17" s="130">
        <f t="shared" si="8"/>
        <v>159.95535714285717</v>
      </c>
      <c r="G17" s="130">
        <f t="shared" si="8"/>
        <v>163.59307142857142</v>
      </c>
      <c r="H17" s="130">
        <f t="shared" si="8"/>
        <v>2.6096807018136894</v>
      </c>
      <c r="I17" s="130"/>
      <c r="J17" s="130">
        <f t="shared" si="8"/>
        <v>11.941904761904762</v>
      </c>
      <c r="K17" s="130">
        <f t="shared" si="8"/>
        <v>11.303309523809526</v>
      </c>
      <c r="L17" s="130">
        <f t="shared" si="8"/>
        <v>-6.0801507308020168</v>
      </c>
      <c r="M17" s="130"/>
      <c r="N17" s="130">
        <f t="shared" si="8"/>
        <v>13.088714285714287</v>
      </c>
      <c r="O17" s="130">
        <f t="shared" si="8"/>
        <v>12.291642857142859</v>
      </c>
      <c r="P17" s="130">
        <f t="shared" si="8"/>
        <v>-5.9602690709346273</v>
      </c>
      <c r="Q17" s="130"/>
      <c r="R17" s="130">
        <f t="shared" si="8"/>
        <v>174.82221428571432</v>
      </c>
      <c r="S17" s="130">
        <f t="shared" si="8"/>
        <v>190.78330952380952</v>
      </c>
      <c r="T17" s="130">
        <f t="shared" si="8"/>
        <v>9.7068615280087283</v>
      </c>
      <c r="U17" s="130"/>
      <c r="V17" s="130">
        <f t="shared" si="8"/>
        <v>182.06864285714283</v>
      </c>
      <c r="W17" s="130">
        <f t="shared" si="8"/>
        <v>197.66892857142858</v>
      </c>
      <c r="X17" s="130">
        <f t="shared" si="8"/>
        <v>9.6143349061594758</v>
      </c>
      <c r="Y17" s="130"/>
      <c r="Z17" s="130">
        <f t="shared" si="8"/>
        <v>136.29154761904763</v>
      </c>
      <c r="AA17" s="130">
        <f t="shared" si="8"/>
        <v>144.2367142857143</v>
      </c>
      <c r="AB17" s="130">
        <f t="shared" si="8"/>
        <v>6.2127048222967174</v>
      </c>
      <c r="AC17" s="130"/>
      <c r="AD17" s="130">
        <f t="shared" si="8"/>
        <v>141.2227380952381</v>
      </c>
      <c r="AE17" s="130">
        <f t="shared" si="8"/>
        <v>148.74414285714283</v>
      </c>
      <c r="AF17" s="130">
        <f t="shared" si="8"/>
        <v>6.0877734352599138</v>
      </c>
    </row>
    <row r="18" spans="1:32" s="104" customFormat="1" x14ac:dyDescent="0.25">
      <c r="A18" s="14" t="s">
        <v>153</v>
      </c>
      <c r="B18" s="126">
        <f>STDEV(B2:B16)</f>
        <v>17.460209830176669</v>
      </c>
      <c r="C18" s="126">
        <f t="shared" ref="C18:AF18" si="9">STDEV(C2:C16)</f>
        <v>16.876051175979022</v>
      </c>
      <c r="D18" s="126">
        <f t="shared" si="9"/>
        <v>4.4952199560577988</v>
      </c>
      <c r="E18" s="126"/>
      <c r="F18" s="126">
        <f t="shared" si="9"/>
        <v>18.638474556296295</v>
      </c>
      <c r="G18" s="126">
        <f t="shared" si="9"/>
        <v>15.866303114871059</v>
      </c>
      <c r="H18" s="126">
        <f t="shared" si="9"/>
        <v>5.310798811623048</v>
      </c>
      <c r="I18" s="126"/>
      <c r="J18" s="126">
        <f t="shared" si="9"/>
        <v>2.382873068085678</v>
      </c>
      <c r="K18" s="126">
        <f t="shared" si="9"/>
        <v>3.0161139554983434</v>
      </c>
      <c r="L18" s="126">
        <f t="shared" si="9"/>
        <v>15.566059514857709</v>
      </c>
      <c r="M18" s="126"/>
      <c r="N18" s="126">
        <f t="shared" si="9"/>
        <v>2.6149544613940821</v>
      </c>
      <c r="O18" s="126">
        <f t="shared" si="9"/>
        <v>2.6244377158118612</v>
      </c>
      <c r="P18" s="126">
        <f t="shared" si="9"/>
        <v>10.010653084420813</v>
      </c>
      <c r="Q18" s="126"/>
      <c r="R18" s="126">
        <f t="shared" si="9"/>
        <v>19.306959018454489</v>
      </c>
      <c r="S18" s="126">
        <f t="shared" si="9"/>
        <v>22.177806506591935</v>
      </c>
      <c r="T18" s="126">
        <f t="shared" si="9"/>
        <v>12.242289812319346</v>
      </c>
      <c r="U18" s="126"/>
      <c r="V18" s="126">
        <f t="shared" si="9"/>
        <v>21.572325335973872</v>
      </c>
      <c r="W18" s="126">
        <f t="shared" si="9"/>
        <v>22.930384677454345</v>
      </c>
      <c r="X18" s="126">
        <f t="shared" si="9"/>
        <v>16.008909702608303</v>
      </c>
      <c r="Y18" s="126"/>
      <c r="Z18" s="126">
        <f t="shared" si="9"/>
        <v>13.807071662402583</v>
      </c>
      <c r="AA18" s="126">
        <f t="shared" si="9"/>
        <v>15.734967559007762</v>
      </c>
      <c r="AB18" s="126">
        <f t="shared" si="9"/>
        <v>10.950091318784358</v>
      </c>
      <c r="AC18" s="126"/>
      <c r="AD18" s="126">
        <f t="shared" si="9"/>
        <v>15.014846925329767</v>
      </c>
      <c r="AE18" s="126">
        <f t="shared" si="9"/>
        <v>16.850949682697252</v>
      </c>
      <c r="AF18" s="126">
        <f t="shared" si="9"/>
        <v>14.369878397746803</v>
      </c>
    </row>
    <row r="19" spans="1:32" s="104" customFormat="1" x14ac:dyDescent="0.25">
      <c r="A19" s="14"/>
      <c r="B19" s="126"/>
      <c r="C19" s="126"/>
      <c r="D19" s="53"/>
      <c r="E19" s="53"/>
      <c r="F19" s="126"/>
      <c r="G19" s="126"/>
      <c r="H19" s="53"/>
      <c r="I19" s="53"/>
      <c r="J19" s="126"/>
      <c r="K19" s="126"/>
      <c r="L19" s="53"/>
      <c r="M19" s="53"/>
      <c r="N19" s="126"/>
      <c r="O19" s="126"/>
      <c r="P19" s="53"/>
      <c r="Q19" s="53"/>
      <c r="R19" s="126"/>
      <c r="S19" s="126"/>
      <c r="T19" s="53"/>
      <c r="U19" s="53"/>
      <c r="V19" s="126"/>
      <c r="W19" s="126"/>
      <c r="X19" s="53"/>
      <c r="Z19" s="127"/>
      <c r="AA19" s="127"/>
      <c r="AB19" s="128"/>
      <c r="AC19" s="128"/>
      <c r="AD19" s="127"/>
      <c r="AE19" s="127"/>
      <c r="AF19" s="128"/>
    </row>
    <row r="20" spans="1:32" x14ac:dyDescent="0.25">
      <c r="A20" s="14"/>
      <c r="B20" s="55"/>
      <c r="C20" s="133" t="s">
        <v>185</v>
      </c>
      <c r="D20" s="133"/>
      <c r="E20" s="6"/>
      <c r="F20" s="133"/>
      <c r="G20" s="133" t="s">
        <v>185</v>
      </c>
      <c r="H20" s="133"/>
      <c r="I20" s="6"/>
      <c r="J20" s="133"/>
      <c r="K20" s="133" t="s">
        <v>185</v>
      </c>
      <c r="L20" s="133"/>
      <c r="M20" s="6"/>
      <c r="N20" s="133"/>
      <c r="O20" s="133" t="s">
        <v>185</v>
      </c>
      <c r="P20" s="133"/>
      <c r="Q20" s="6"/>
      <c r="R20" s="133"/>
      <c r="S20" s="133" t="s">
        <v>185</v>
      </c>
      <c r="T20" s="133"/>
      <c r="U20" s="6"/>
      <c r="V20" s="133"/>
      <c r="W20" s="133" t="s">
        <v>185</v>
      </c>
      <c r="X20" s="133"/>
      <c r="Y20" s="6"/>
      <c r="Z20" s="133"/>
      <c r="AA20" s="133" t="s">
        <v>185</v>
      </c>
      <c r="AB20" s="133"/>
      <c r="AC20" s="6"/>
      <c r="AD20" s="133"/>
      <c r="AE20" s="133" t="s">
        <v>185</v>
      </c>
      <c r="AF20" s="55"/>
    </row>
    <row r="21" spans="1:32" x14ac:dyDescent="0.25">
      <c r="A21" s="14"/>
      <c r="B21" s="104"/>
      <c r="C21" s="134" t="s">
        <v>228</v>
      </c>
      <c r="D21" s="134"/>
      <c r="E21" s="6"/>
      <c r="F21" s="134"/>
      <c r="G21" s="134" t="s">
        <v>229</v>
      </c>
      <c r="H21" s="134"/>
      <c r="I21" s="6"/>
      <c r="J21" s="134"/>
      <c r="K21" s="134" t="s">
        <v>230</v>
      </c>
      <c r="L21" s="134"/>
      <c r="M21" s="6"/>
      <c r="N21" s="134"/>
      <c r="O21" s="134" t="s">
        <v>231</v>
      </c>
      <c r="P21" s="134"/>
      <c r="Q21" s="6"/>
      <c r="R21" s="134"/>
      <c r="S21" s="134" t="s">
        <v>202</v>
      </c>
      <c r="T21" s="134"/>
      <c r="U21" s="6"/>
      <c r="V21" s="134"/>
      <c r="W21" s="134" t="s">
        <v>221</v>
      </c>
      <c r="X21" s="134"/>
      <c r="Y21" s="6"/>
      <c r="Z21" s="134"/>
      <c r="AA21" s="134" t="s">
        <v>232</v>
      </c>
      <c r="AB21" s="134"/>
      <c r="AC21" s="6"/>
      <c r="AD21" s="134"/>
      <c r="AE21" s="134" t="s">
        <v>233</v>
      </c>
      <c r="AF21" s="104"/>
    </row>
    <row r="26" spans="1:32" x14ac:dyDescent="0.25">
      <c r="A26" s="1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V50"/>
  <sheetViews>
    <sheetView workbookViewId="0">
      <pane xSplit="1" topLeftCell="B1" activePane="topRight" state="frozen"/>
      <selection pane="topRight" activeCell="G24" sqref="G24"/>
    </sheetView>
  </sheetViews>
  <sheetFormatPr defaultRowHeight="15" x14ac:dyDescent="0.25"/>
  <cols>
    <col min="1" max="1" width="9.140625" style="2"/>
    <col min="14" max="14" width="14.7109375" customWidth="1"/>
    <col min="48" max="48" width="9.140625" style="135"/>
  </cols>
  <sheetData>
    <row r="1" spans="1:44" x14ac:dyDescent="0.25">
      <c r="B1" t="s">
        <v>234</v>
      </c>
      <c r="C1" t="s">
        <v>235</v>
      </c>
      <c r="D1" t="s">
        <v>23</v>
      </c>
      <c r="F1" t="s">
        <v>236</v>
      </c>
      <c r="G1" t="s">
        <v>237</v>
      </c>
      <c r="H1" s="2" t="s">
        <v>23</v>
      </c>
      <c r="J1" t="s">
        <v>238</v>
      </c>
      <c r="K1" t="s">
        <v>239</v>
      </c>
      <c r="L1" t="s">
        <v>23</v>
      </c>
      <c r="N1" t="s">
        <v>403</v>
      </c>
      <c r="O1" t="s">
        <v>404</v>
      </c>
      <c r="P1" t="s">
        <v>23</v>
      </c>
      <c r="R1" t="s">
        <v>245</v>
      </c>
      <c r="S1" t="s">
        <v>246</v>
      </c>
      <c r="T1" t="s">
        <v>23</v>
      </c>
      <c r="V1" t="s">
        <v>247</v>
      </c>
      <c r="W1" t="s">
        <v>248</v>
      </c>
      <c r="X1" t="s">
        <v>23</v>
      </c>
      <c r="Z1" t="s">
        <v>249</v>
      </c>
      <c r="AA1" t="s">
        <v>250</v>
      </c>
      <c r="AB1" t="s">
        <v>23</v>
      </c>
      <c r="AD1" t="s">
        <v>251</v>
      </c>
      <c r="AE1" t="s">
        <v>252</v>
      </c>
      <c r="AF1" t="s">
        <v>23</v>
      </c>
      <c r="AH1" t="s">
        <v>253</v>
      </c>
      <c r="AI1" t="s">
        <v>254</v>
      </c>
      <c r="AJ1" t="s">
        <v>23</v>
      </c>
      <c r="AL1" t="s">
        <v>255</v>
      </c>
      <c r="AM1" t="s">
        <v>256</v>
      </c>
      <c r="AN1" t="s">
        <v>23</v>
      </c>
      <c r="AP1" t="s">
        <v>257</v>
      </c>
      <c r="AQ1" t="s">
        <v>258</v>
      </c>
      <c r="AR1" t="s">
        <v>23</v>
      </c>
    </row>
    <row r="2" spans="1:44" x14ac:dyDescent="0.25">
      <c r="A2" s="2" t="s">
        <v>11</v>
      </c>
      <c r="B2" s="2">
        <v>1.5683666666666702</v>
      </c>
      <c r="C2" s="2">
        <v>1.5565500000000001</v>
      </c>
      <c r="D2" s="7">
        <f>(C2-B2)/B2*100</f>
        <v>-0.75343775902765808</v>
      </c>
      <c r="E2" s="2"/>
      <c r="F2" s="2">
        <v>1.8871400000000003</v>
      </c>
      <c r="G2" s="2">
        <v>2.0928899999999997</v>
      </c>
      <c r="H2" s="4">
        <f>(G2-F2)/F2*100</f>
        <v>10.90274171497607</v>
      </c>
      <c r="J2" s="2">
        <v>1.6980866666666665</v>
      </c>
      <c r="K2" s="2">
        <v>1.7953933333333336</v>
      </c>
      <c r="L2" s="7">
        <f>(K2-J2)/J2*100</f>
        <v>5.7303710450585816</v>
      </c>
      <c r="M2" s="2"/>
      <c r="N2">
        <v>0.10017981354501188</v>
      </c>
      <c r="O2">
        <v>0.14214634628034256</v>
      </c>
      <c r="P2">
        <f>(O2-N2)/N2*100</f>
        <v>41.891206671566287</v>
      </c>
      <c r="R2" s="2">
        <v>-0.93026910899909165</v>
      </c>
      <c r="S2" s="2">
        <v>-0.70836349460977055</v>
      </c>
      <c r="T2">
        <f>(S2-R2)/R2*100</f>
        <v>-23.853916274622613</v>
      </c>
      <c r="V2" s="2">
        <v>1.4993399999999999</v>
      </c>
      <c r="W2" s="2">
        <v>1.5030366666666699</v>
      </c>
      <c r="X2" s="7">
        <f>(W2-V2)/V2*100</f>
        <v>0.24655292773286996</v>
      </c>
      <c r="Z2" s="2">
        <v>1.6046033333333336</v>
      </c>
      <c r="AA2" s="2">
        <v>1.6062866666666664</v>
      </c>
      <c r="AB2" s="4">
        <f>(AA2-Z2)/Z2*100</f>
        <v>0.10490650856594763</v>
      </c>
      <c r="AD2" s="2">
        <v>1.5301633333333333</v>
      </c>
      <c r="AE2" s="2">
        <v>1.6007933333333335</v>
      </c>
      <c r="AF2" s="7">
        <f>(AE2-AD2)/AD2*100</f>
        <v>4.6158471100035205</v>
      </c>
      <c r="AG2" s="2" t="s">
        <v>11</v>
      </c>
      <c r="AH2" s="112">
        <v>125.375</v>
      </c>
      <c r="AI2" s="112">
        <v>124.15066666666667</v>
      </c>
      <c r="AJ2" s="7">
        <f>(AI2-AH2)/AH2*100</f>
        <v>-0.97653705550016667</v>
      </c>
      <c r="AL2" s="113">
        <v>143.23066666666665</v>
      </c>
      <c r="AM2" s="113">
        <v>160.08000000000001</v>
      </c>
      <c r="AN2" s="4">
        <f>(AM2-AL2)/AL2*100</f>
        <v>11.763774983011109</v>
      </c>
      <c r="AO2" s="2" t="s">
        <v>11</v>
      </c>
      <c r="AP2" s="112">
        <v>133.57633333333334</v>
      </c>
      <c r="AQ2" s="112">
        <v>135.99233333333333</v>
      </c>
      <c r="AR2" s="7">
        <f>(AQ2-AP2)/AP2*100</f>
        <v>1.8087036376204342</v>
      </c>
    </row>
    <row r="3" spans="1:44" x14ac:dyDescent="0.25">
      <c r="A3" s="2" t="s">
        <v>10</v>
      </c>
      <c r="B3" s="2">
        <v>1.41178</v>
      </c>
      <c r="C3" s="2">
        <v>1.3866000000000001</v>
      </c>
      <c r="D3" s="7">
        <f t="shared" ref="D3:D15" si="0">(C3-B3)/B3*100</f>
        <v>-1.7835640113898752</v>
      </c>
      <c r="E3" s="2"/>
      <c r="F3" s="2">
        <v>1.9767433333333335</v>
      </c>
      <c r="G3" s="2">
        <v>2.0169700000000002</v>
      </c>
      <c r="H3" s="4">
        <f t="shared" ref="H3:H15" si="1">(G3-F3)/F3*100</f>
        <v>2.0349969562731949</v>
      </c>
      <c r="J3" s="2">
        <v>1.7372266666666667</v>
      </c>
      <c r="K3" s="2">
        <v>1.8588999999999998</v>
      </c>
      <c r="L3" s="7">
        <f t="shared" ref="L3:L15" si="2">(K3-J3)/J3*100</f>
        <v>7.0038835845638872</v>
      </c>
      <c r="M3" s="2"/>
      <c r="N3">
        <v>0.121167307170211</v>
      </c>
      <c r="O3">
        <v>7.8370030292964382E-2</v>
      </c>
      <c r="P3" s="2">
        <f t="shared" ref="P3:P15" si="3">(O3-N3)/N3*100</f>
        <v>-35.320812087642345</v>
      </c>
      <c r="R3" s="2">
        <v>-0.80412224911146823</v>
      </c>
      <c r="S3" s="2">
        <v>-0.68982191438543183</v>
      </c>
      <c r="T3" s="2">
        <f t="shared" ref="T3:T15" si="4">(S3-R3)/R3*100</f>
        <v>-14.214298242877243</v>
      </c>
      <c r="V3" s="2">
        <v>1.5025166666666667</v>
      </c>
      <c r="W3" s="2">
        <v>1.5155000000000001</v>
      </c>
      <c r="X3" s="7">
        <f t="shared" ref="X3:X15" si="5">(W3-V3)/V3*100</f>
        <v>0.86410577808343858</v>
      </c>
      <c r="Z3" s="2">
        <v>1.7722333333333335</v>
      </c>
      <c r="AA3" s="2">
        <v>1.7720233333333331</v>
      </c>
      <c r="AB3" s="4">
        <f t="shared" ref="AB3:AB15" si="6">(AA3-Z3)/Z3*100</f>
        <v>-1.1849455489334786E-2</v>
      </c>
      <c r="AD3" s="2">
        <v>1.7287033333333333</v>
      </c>
      <c r="AE3" s="2">
        <v>1.7737000000000001</v>
      </c>
      <c r="AF3" s="7">
        <f t="shared" ref="AF3:AF13" si="7">(AE3-AD3)/AD3*100</f>
        <v>2.6029143230668148</v>
      </c>
      <c r="AG3" s="2" t="s">
        <v>10</v>
      </c>
      <c r="AH3" s="112">
        <v>114.21166666666666</v>
      </c>
      <c r="AI3" s="11">
        <v>110.16</v>
      </c>
      <c r="AJ3" s="7">
        <f t="shared" ref="AJ3:AJ15" si="8">(AI3-AH3)/AH3*100</f>
        <v>-3.5475068221285002</v>
      </c>
      <c r="AL3" s="113">
        <v>133.49600000000001</v>
      </c>
      <c r="AM3" s="113">
        <v>136.03700000000001</v>
      </c>
      <c r="AN3" s="4">
        <f t="shared" ref="AN3:AN15" si="9">(AM3-AL3)/AL3*100</f>
        <v>1.9034278180619619</v>
      </c>
      <c r="AO3" s="2" t="s">
        <v>10</v>
      </c>
      <c r="AP3" s="112">
        <v>119.904</v>
      </c>
      <c r="AQ3" s="11">
        <v>125.36</v>
      </c>
      <c r="AR3" s="7">
        <f t="shared" ref="AR3:AR15" si="10">(AQ3-AP3)/AP3*100</f>
        <v>4.5503069121964268</v>
      </c>
    </row>
    <row r="4" spans="1:44" x14ac:dyDescent="0.25">
      <c r="A4" s="2" t="s">
        <v>12</v>
      </c>
      <c r="B4" s="2">
        <v>1.45251</v>
      </c>
      <c r="C4" s="2">
        <v>1.2881299999999998</v>
      </c>
      <c r="D4" s="7">
        <f t="shared" si="0"/>
        <v>-11.316961673241506</v>
      </c>
      <c r="E4" s="2"/>
      <c r="F4" s="2">
        <v>1.92571</v>
      </c>
      <c r="G4" s="2">
        <v>2.2788166666666667</v>
      </c>
      <c r="H4" s="4">
        <f t="shared" si="1"/>
        <v>18.336440412453936</v>
      </c>
      <c r="J4" s="2">
        <v>1.3403366666666667</v>
      </c>
      <c r="K4" s="2">
        <v>1.8902033333333335</v>
      </c>
      <c r="L4" s="7">
        <f t="shared" si="2"/>
        <v>41.024518715447115</v>
      </c>
      <c r="M4" s="2"/>
      <c r="N4">
        <v>0.30397792675601898</v>
      </c>
      <c r="O4">
        <v>0.17053295204382388</v>
      </c>
      <c r="P4" s="2">
        <f t="shared" si="3"/>
        <v>-43.899560779392282</v>
      </c>
      <c r="R4" s="2">
        <v>-0.98545214639531986</v>
      </c>
      <c r="S4" s="2">
        <v>-0.93115582976744549</v>
      </c>
      <c r="T4" s="2">
        <f t="shared" si="4"/>
        <v>-5.5097872409618853</v>
      </c>
      <c r="V4" s="2">
        <v>1.2960733333333334</v>
      </c>
      <c r="W4" s="2">
        <v>1.2475733333333334</v>
      </c>
      <c r="X4" s="7">
        <f t="shared" si="5"/>
        <v>-3.7420722078483202</v>
      </c>
      <c r="Z4" s="2">
        <v>1.3890066666666667</v>
      </c>
      <c r="AA4" s="2">
        <v>1.4575866666666664</v>
      </c>
      <c r="AB4" s="4">
        <f t="shared" si="6"/>
        <v>4.9373413134565922</v>
      </c>
      <c r="AD4" s="2">
        <v>1.2652966666666667</v>
      </c>
      <c r="AE4" s="2">
        <v>1.3744966666666665</v>
      </c>
      <c r="AF4" s="7">
        <f t="shared" si="7"/>
        <v>8.630387076548562</v>
      </c>
      <c r="AG4" s="2" t="s">
        <v>12</v>
      </c>
      <c r="AH4" s="112">
        <v>134.35166666666669</v>
      </c>
      <c r="AI4" s="112">
        <v>123.57299999999999</v>
      </c>
      <c r="AJ4" s="7">
        <f t="shared" si="8"/>
        <v>-8.0227264269144598</v>
      </c>
      <c r="AL4" s="113">
        <v>165.88900000000001</v>
      </c>
      <c r="AM4" s="113">
        <v>191.60299999999998</v>
      </c>
      <c r="AN4" s="4">
        <f t="shared" si="9"/>
        <v>15.500726389332605</v>
      </c>
      <c r="AO4" s="2" t="s">
        <v>12</v>
      </c>
      <c r="AP4" s="112">
        <v>126.82</v>
      </c>
      <c r="AQ4" s="112">
        <v>164.23966666666669</v>
      </c>
      <c r="AR4" s="7">
        <f t="shared" si="10"/>
        <v>29.506124165483914</v>
      </c>
    </row>
    <row r="5" spans="1:44" x14ac:dyDescent="0.25">
      <c r="A5" s="2" t="s">
        <v>13</v>
      </c>
      <c r="B5" s="2">
        <v>1.4112100000000001</v>
      </c>
      <c r="C5" s="2">
        <v>1.4900333333333333</v>
      </c>
      <c r="D5" s="7">
        <f t="shared" si="0"/>
        <v>5.5855140860207371</v>
      </c>
      <c r="E5" s="2"/>
      <c r="F5" s="2">
        <v>1.8640866666666667</v>
      </c>
      <c r="G5" s="2">
        <v>1.8585100000000003</v>
      </c>
      <c r="H5" s="41">
        <f t="shared" si="1"/>
        <v>-0.29916348667621007</v>
      </c>
      <c r="J5" s="2">
        <v>1.8287400000000003</v>
      </c>
      <c r="K5" s="2">
        <v>1.8423400000000001</v>
      </c>
      <c r="L5" s="31">
        <f t="shared" si="2"/>
        <v>0.74368144186706875</v>
      </c>
      <c r="M5" s="2"/>
      <c r="N5">
        <v>1.896192237127731E-2</v>
      </c>
      <c r="O5">
        <v>8.7005181570183835E-3</v>
      </c>
      <c r="P5" s="2">
        <f t="shared" si="3"/>
        <v>-54.115843390448916</v>
      </c>
      <c r="R5" s="2">
        <v>-0.51062950823399145</v>
      </c>
      <c r="S5" s="2">
        <v>-0.59836806880245064</v>
      </c>
      <c r="T5" s="4">
        <f t="shared" si="4"/>
        <v>17.182430539884461</v>
      </c>
      <c r="V5" s="2">
        <v>1.3540399999999999</v>
      </c>
      <c r="W5" s="2">
        <v>1.3904999999999998</v>
      </c>
      <c r="X5" s="7">
        <f t="shared" si="5"/>
        <v>2.6926826386221925</v>
      </c>
      <c r="Z5" s="2">
        <v>1.4311866666666666</v>
      </c>
      <c r="AA5" s="2">
        <v>1.5011533333333333</v>
      </c>
      <c r="AB5" s="41">
        <f t="shared" si="6"/>
        <v>4.8887170553107495</v>
      </c>
      <c r="AD5" s="2">
        <v>1.5529400000000002</v>
      </c>
      <c r="AE5" s="2">
        <v>1.5162800000000001</v>
      </c>
      <c r="AF5" s="31">
        <f t="shared" si="7"/>
        <v>-2.3606836065784984</v>
      </c>
      <c r="AG5" s="2" t="s">
        <v>13</v>
      </c>
      <c r="AH5" s="112">
        <v>127.17900000000002</v>
      </c>
      <c r="AI5" s="112">
        <v>130.23533333333333</v>
      </c>
      <c r="AJ5" s="7">
        <f t="shared" si="8"/>
        <v>2.4031745282895076</v>
      </c>
      <c r="AL5" s="114">
        <v>156.304</v>
      </c>
      <c r="AM5" s="114">
        <v>149.13333333333333</v>
      </c>
      <c r="AN5" s="41">
        <f t="shared" si="9"/>
        <v>-4.5876411778755992</v>
      </c>
      <c r="AO5" s="2" t="s">
        <v>13</v>
      </c>
      <c r="AP5" s="125">
        <v>142.10166666666669</v>
      </c>
      <c r="AQ5" s="125">
        <v>146.49966666666668</v>
      </c>
      <c r="AR5" s="31">
        <f t="shared" si="10"/>
        <v>3.094967218306139</v>
      </c>
    </row>
    <row r="6" spans="1:44" x14ac:dyDescent="0.25">
      <c r="A6" s="2" t="s">
        <v>14</v>
      </c>
      <c r="B6" s="2">
        <v>1.3621266666666667</v>
      </c>
      <c r="C6" s="2">
        <v>1.3933833333333334</v>
      </c>
      <c r="D6" s="7">
        <f t="shared" si="0"/>
        <v>2.294696039036999</v>
      </c>
      <c r="E6" s="2"/>
      <c r="F6" s="2">
        <v>2.0410599999999999</v>
      </c>
      <c r="G6" s="2">
        <v>2.4680666666666666</v>
      </c>
      <c r="H6" s="41">
        <f t="shared" si="1"/>
        <v>20.920828719717537</v>
      </c>
      <c r="J6" s="2">
        <v>1.8325666666666667</v>
      </c>
      <c r="K6" s="2">
        <v>2.3895899999999997</v>
      </c>
      <c r="L6" s="31">
        <f t="shared" si="2"/>
        <v>30.395801880786493</v>
      </c>
      <c r="M6" s="2"/>
      <c r="N6">
        <v>0.10214953667865384</v>
      </c>
      <c r="O6">
        <v>3.1796818022203736E-2</v>
      </c>
      <c r="P6" s="2">
        <f t="shared" si="3"/>
        <v>-68.872283657799187</v>
      </c>
      <c r="R6" s="2">
        <v>-0.54793649600940197</v>
      </c>
      <c r="S6" s="2">
        <v>-3.2146370014677466</v>
      </c>
      <c r="T6" s="41">
        <f t="shared" si="4"/>
        <v>486.68057792824715</v>
      </c>
      <c r="V6" s="2">
        <v>1.4425233333333332</v>
      </c>
      <c r="W6" s="2">
        <v>1.5059933333333333</v>
      </c>
      <c r="X6" s="7">
        <f t="shared" si="5"/>
        <v>4.3999288284187301</v>
      </c>
      <c r="Z6" s="2">
        <v>1.8627133333333337</v>
      </c>
      <c r="AA6" s="2">
        <v>1.9267166666666666</v>
      </c>
      <c r="AB6" s="41">
        <f t="shared" si="6"/>
        <v>3.4360270143553828</v>
      </c>
      <c r="AD6" s="2">
        <v>1.7915399999999999</v>
      </c>
      <c r="AE6" s="2">
        <v>1.9037066666666667</v>
      </c>
      <c r="AF6" s="31">
        <f t="shared" si="7"/>
        <v>6.2609077478966002</v>
      </c>
      <c r="AG6" s="2" t="s">
        <v>14</v>
      </c>
      <c r="AH6" s="112">
        <v>116.03000000000002</v>
      </c>
      <c r="AI6" s="112">
        <v>111.504</v>
      </c>
      <c r="AJ6" s="7">
        <f t="shared" si="8"/>
        <v>-3.9007153322416701</v>
      </c>
      <c r="AL6" s="114">
        <v>131.46600000000001</v>
      </c>
      <c r="AM6" s="114">
        <v>153.34966666666665</v>
      </c>
      <c r="AN6" s="41">
        <f t="shared" si="9"/>
        <v>16.645875486183986</v>
      </c>
      <c r="AO6" s="2" t="s">
        <v>14</v>
      </c>
      <c r="AP6" s="125">
        <v>122.59633333333333</v>
      </c>
      <c r="AQ6" s="125">
        <v>151.81533333333334</v>
      </c>
      <c r="AR6" s="31">
        <f t="shared" si="10"/>
        <v>23.833502361408314</v>
      </c>
    </row>
    <row r="7" spans="1:44" x14ac:dyDescent="0.25">
      <c r="A7" s="2" t="s">
        <v>15</v>
      </c>
      <c r="B7" s="2">
        <v>1.3873999999999997</v>
      </c>
      <c r="C7" s="2">
        <v>1.2549366666666666</v>
      </c>
      <c r="D7" s="7">
        <f t="shared" si="0"/>
        <v>-9.547595021863426</v>
      </c>
      <c r="E7" s="2"/>
      <c r="F7" s="2">
        <v>1.7248133333333331</v>
      </c>
      <c r="G7" s="2">
        <v>1.8039599999999998</v>
      </c>
      <c r="H7" s="41">
        <f t="shared" si="1"/>
        <v>4.5887091163488245</v>
      </c>
      <c r="J7" s="2">
        <v>1.4995600000000002</v>
      </c>
      <c r="K7" s="2">
        <v>1.6920900000000003</v>
      </c>
      <c r="L7" s="31">
        <f t="shared" si="2"/>
        <v>12.839099469177629</v>
      </c>
      <c r="M7" s="2"/>
      <c r="N7">
        <v>0.13059577461522381</v>
      </c>
      <c r="O7">
        <v>6.2013570145679216E-2</v>
      </c>
      <c r="P7" s="2">
        <f t="shared" si="3"/>
        <v>-52.514872454035611</v>
      </c>
      <c r="R7" s="2">
        <v>-0.18648314692945575</v>
      </c>
      <c r="S7" s="2">
        <v>-2.0099564948147406</v>
      </c>
      <c r="T7" s="41">
        <f t="shared" si="4"/>
        <v>977.82205947815874</v>
      </c>
      <c r="V7" s="2">
        <v>1.3720166666666669</v>
      </c>
      <c r="W7" s="2">
        <v>1.3071466666666667</v>
      </c>
      <c r="X7" s="7">
        <f t="shared" si="5"/>
        <v>-4.7280766754534218</v>
      </c>
      <c r="Z7" s="2">
        <v>1.463073333333333</v>
      </c>
      <c r="AA7" s="2">
        <v>1.5080533333333332</v>
      </c>
      <c r="AB7" s="41">
        <f t="shared" si="6"/>
        <v>3.0743503401515704</v>
      </c>
      <c r="AD7" s="2">
        <v>1.3800800000000002</v>
      </c>
      <c r="AE7" s="2">
        <v>1.4794900000000002</v>
      </c>
      <c r="AF7" s="31">
        <f t="shared" si="7"/>
        <v>7.2032056112689107</v>
      </c>
      <c r="AG7" s="2" t="s">
        <v>15</v>
      </c>
      <c r="AH7" s="112">
        <v>121.91233333333334</v>
      </c>
      <c r="AI7" s="112">
        <v>115.11433333333332</v>
      </c>
      <c r="AJ7" s="7">
        <f t="shared" si="8"/>
        <v>-5.5761380445511524</v>
      </c>
      <c r="AL7" s="114">
        <v>144.65333333333334</v>
      </c>
      <c r="AM7" s="114">
        <v>143.68566666666666</v>
      </c>
      <c r="AN7" s="41">
        <f t="shared" si="9"/>
        <v>-0.66895566411651308</v>
      </c>
      <c r="AO7" s="2" t="s">
        <v>15</v>
      </c>
      <c r="AP7" s="125">
        <v>132.071</v>
      </c>
      <c r="AQ7" s="125">
        <v>138.14066666666668</v>
      </c>
      <c r="AR7" s="31">
        <f t="shared" si="10"/>
        <v>4.595760361219857</v>
      </c>
    </row>
    <row r="8" spans="1:44" x14ac:dyDescent="0.25">
      <c r="A8" s="2" t="s">
        <v>16</v>
      </c>
      <c r="B8" s="2">
        <v>1.36876</v>
      </c>
      <c r="C8" s="2">
        <v>1.6715833333333334</v>
      </c>
      <c r="D8" s="7">
        <f t="shared" si="0"/>
        <v>22.123917511713774</v>
      </c>
      <c r="E8" s="2"/>
      <c r="F8" s="2">
        <v>1.96946</v>
      </c>
      <c r="G8" s="2">
        <v>2.2275066666666667</v>
      </c>
      <c r="H8" s="41">
        <f t="shared" si="1"/>
        <v>13.102407089591397</v>
      </c>
      <c r="J8" s="2">
        <v>1.6502433333333331</v>
      </c>
      <c r="K8" s="2">
        <v>1.7221199999999999</v>
      </c>
      <c r="L8" s="31">
        <f t="shared" si="2"/>
        <v>4.355519287054646</v>
      </c>
      <c r="M8" s="2"/>
      <c r="N8">
        <v>0.16208334602716831</v>
      </c>
      <c r="O8">
        <v>0.22688446873335216</v>
      </c>
      <c r="P8" s="2">
        <f t="shared" si="3"/>
        <v>39.9801239883843</v>
      </c>
      <c r="R8" s="2">
        <v>-0.15270209050643729</v>
      </c>
      <c r="S8" s="2">
        <v>-0.64705162744360567</v>
      </c>
      <c r="T8" s="41">
        <f t="shared" si="4"/>
        <v>323.73462294959785</v>
      </c>
      <c r="V8" s="2">
        <v>1.4312666666666667</v>
      </c>
      <c r="W8" s="2">
        <v>1.5914299999999999</v>
      </c>
      <c r="X8" s="7">
        <f t="shared" si="5"/>
        <v>11.190320927849449</v>
      </c>
      <c r="Z8" s="2">
        <v>1.8007433333333334</v>
      </c>
      <c r="AA8" s="2">
        <v>1.8681700000000001</v>
      </c>
      <c r="AB8" s="41">
        <f t="shared" si="6"/>
        <v>3.7443796358170647</v>
      </c>
      <c r="AD8" s="2">
        <v>1.8135866666666667</v>
      </c>
      <c r="AE8" s="2">
        <v>1.8125933333333333</v>
      </c>
      <c r="AF8" s="31">
        <f t="shared" si="7"/>
        <v>-5.4771759827674897E-2</v>
      </c>
      <c r="AG8" s="2" t="s">
        <v>16</v>
      </c>
      <c r="AH8" s="112">
        <v>114.58333333333333</v>
      </c>
      <c r="AI8" s="112">
        <v>126.74233333333332</v>
      </c>
      <c r="AJ8" s="7">
        <f t="shared" si="8"/>
        <v>10.611490909090902</v>
      </c>
      <c r="AL8" s="114">
        <v>130.65866666666668</v>
      </c>
      <c r="AM8" s="114">
        <v>142.61233333333334</v>
      </c>
      <c r="AN8" s="41">
        <f t="shared" si="9"/>
        <v>9.1487744147600836</v>
      </c>
      <c r="AO8" s="2" t="s">
        <v>16</v>
      </c>
      <c r="AP8" s="125">
        <v>118.15866666666666</v>
      </c>
      <c r="AQ8" s="125">
        <v>113.73666666666668</v>
      </c>
      <c r="AR8" s="31">
        <f t="shared" si="10"/>
        <v>-3.7424254392398777</v>
      </c>
    </row>
    <row r="9" spans="1:44" x14ac:dyDescent="0.25">
      <c r="A9" s="2" t="s">
        <v>112</v>
      </c>
      <c r="B9" s="2">
        <v>1.4892833333333331</v>
      </c>
      <c r="C9" s="2">
        <v>1.4579266666666666</v>
      </c>
      <c r="D9" s="7">
        <f t="shared" si="0"/>
        <v>-2.1054869791957977</v>
      </c>
      <c r="E9" s="2"/>
      <c r="F9" s="2">
        <v>1.9293633333333333</v>
      </c>
      <c r="G9" s="2">
        <v>1.8210866666666667</v>
      </c>
      <c r="H9" s="41">
        <f t="shared" si="1"/>
        <v>-5.612041277865405</v>
      </c>
      <c r="J9" s="2">
        <v>1.7329100000000002</v>
      </c>
      <c r="K9" s="2">
        <v>1.9964733333333333</v>
      </c>
      <c r="L9" s="31">
        <f t="shared" si="2"/>
        <v>15.20929150003942</v>
      </c>
      <c r="M9" s="2"/>
      <c r="N9">
        <v>0.10182288112313378</v>
      </c>
      <c r="O9">
        <v>-9.6308797311495289E-2</v>
      </c>
      <c r="P9" s="4">
        <f t="shared" si="3"/>
        <v>-194.58463191100404</v>
      </c>
      <c r="R9" s="2">
        <v>-0.59804396143225746</v>
      </c>
      <c r="S9" s="2">
        <v>-1.118389027730406</v>
      </c>
      <c r="T9" s="4">
        <f t="shared" si="4"/>
        <v>87.007828831173626</v>
      </c>
      <c r="V9" s="2">
        <v>1.3315433333333333</v>
      </c>
      <c r="W9" s="2">
        <v>1.3232599999999999</v>
      </c>
      <c r="X9" s="7">
        <f t="shared" si="5"/>
        <v>-0.62208514931295922</v>
      </c>
      <c r="Z9" s="2">
        <v>1.1616899999999999</v>
      </c>
      <c r="AA9" s="2">
        <v>1.4754999999999998</v>
      </c>
      <c r="AB9" s="41">
        <f t="shared" si="6"/>
        <v>27.013230724203531</v>
      </c>
      <c r="AD9" s="2">
        <v>1.4583600000000001</v>
      </c>
      <c r="AE9" s="2">
        <v>1.39994</v>
      </c>
      <c r="AF9" s="31">
        <f t="shared" si="7"/>
        <v>-4.005869606955768</v>
      </c>
      <c r="AG9" s="2" t="s">
        <v>112</v>
      </c>
      <c r="AH9" s="11">
        <v>134.39700000000002</v>
      </c>
      <c r="AI9" s="11">
        <v>135.91900000000001</v>
      </c>
      <c r="AJ9" s="7">
        <f t="shared" si="8"/>
        <v>1.1324657544439169</v>
      </c>
      <c r="AL9" s="115">
        <v>194.24966666666668</v>
      </c>
      <c r="AM9" s="115">
        <v>147.95833333333334</v>
      </c>
      <c r="AN9" s="41">
        <f t="shared" si="9"/>
        <v>-23.830843124569927</v>
      </c>
      <c r="AO9" s="2" t="s">
        <v>112</v>
      </c>
      <c r="AP9" s="117">
        <v>142.55433333333335</v>
      </c>
      <c r="AQ9" s="125">
        <v>170.10566666666668</v>
      </c>
      <c r="AR9" s="31">
        <f t="shared" si="10"/>
        <v>19.326899918861344</v>
      </c>
    </row>
    <row r="10" spans="1:44" x14ac:dyDescent="0.25">
      <c r="A10" s="2" t="s">
        <v>113</v>
      </c>
      <c r="B10" s="2">
        <v>1.5236133333333333</v>
      </c>
      <c r="C10" s="2">
        <v>1.4508633333333334</v>
      </c>
      <c r="D10" s="7">
        <f t="shared" si="0"/>
        <v>-4.7748335098143802</v>
      </c>
      <c r="E10" s="2"/>
      <c r="F10" s="50">
        <v>2.2271700000000001</v>
      </c>
      <c r="G10" s="2">
        <v>2.0424233333333333</v>
      </c>
      <c r="H10" s="41">
        <f t="shared" si="1"/>
        <v>-8.2951308910710377</v>
      </c>
      <c r="J10" s="2">
        <v>1.99082</v>
      </c>
      <c r="K10" s="2">
        <v>2.1135166666666669</v>
      </c>
      <c r="L10" s="31">
        <f t="shared" si="2"/>
        <v>6.163122063605293</v>
      </c>
      <c r="M10" s="2"/>
      <c r="N10">
        <v>0.10612122110121816</v>
      </c>
      <c r="O10">
        <v>-3.4808324098660748E-2</v>
      </c>
      <c r="P10" s="4">
        <f t="shared" si="3"/>
        <v>-132.80053106952155</v>
      </c>
      <c r="R10" s="2">
        <v>-0.72408783238552821</v>
      </c>
      <c r="S10" s="2">
        <v>-0.11088188831491243</v>
      </c>
      <c r="T10" s="4">
        <f t="shared" si="4"/>
        <v>-84.686679798276842</v>
      </c>
      <c r="V10" s="2">
        <v>1.39371</v>
      </c>
      <c r="W10" s="2">
        <v>1.3702566666666667</v>
      </c>
      <c r="X10" s="7">
        <f t="shared" si="5"/>
        <v>-1.6827986692592667</v>
      </c>
      <c r="Z10" s="2">
        <v>1.4604200000000001</v>
      </c>
      <c r="AA10" s="2">
        <v>1.5155366666666665</v>
      </c>
      <c r="AB10" s="41">
        <f t="shared" si="6"/>
        <v>3.7740284758265763</v>
      </c>
      <c r="AD10" s="2">
        <v>1.4604200000000001</v>
      </c>
      <c r="AE10" s="2">
        <v>1.6208633333333333</v>
      </c>
      <c r="AF10" s="31">
        <f t="shared" si="7"/>
        <v>10.986109018866715</v>
      </c>
      <c r="AG10" s="2" t="s">
        <v>113</v>
      </c>
      <c r="AH10" s="11">
        <v>133.714</v>
      </c>
      <c r="AI10" s="11">
        <v>126.87400000000001</v>
      </c>
      <c r="AJ10" s="7">
        <f t="shared" si="8"/>
        <v>-5.1153955457169697</v>
      </c>
      <c r="AL10" s="115">
        <v>163.78266666666664</v>
      </c>
      <c r="AM10" s="115">
        <v>166.28700000000001</v>
      </c>
      <c r="AN10" s="41">
        <f t="shared" si="9"/>
        <v>1.5290588340646734</v>
      </c>
      <c r="AO10" s="2" t="s">
        <v>113</v>
      </c>
      <c r="AP10" s="117">
        <v>163.78266666666664</v>
      </c>
      <c r="AQ10" s="115">
        <v>155.44966666666667</v>
      </c>
      <c r="AR10" s="31">
        <f t="shared" si="10"/>
        <v>-5.0878399830669743</v>
      </c>
    </row>
    <row r="11" spans="1:44" x14ac:dyDescent="0.25">
      <c r="A11" s="2" t="s">
        <v>114</v>
      </c>
      <c r="B11" s="2">
        <v>1.3931466666666665</v>
      </c>
      <c r="C11" s="2">
        <v>1.2405599999999999</v>
      </c>
      <c r="D11" s="7">
        <f t="shared" si="0"/>
        <v>-10.952663514729245</v>
      </c>
      <c r="E11" s="2"/>
      <c r="F11" s="50">
        <v>2.2548066666666702</v>
      </c>
      <c r="G11" s="2">
        <v>2.1742966666666668</v>
      </c>
      <c r="H11" s="116">
        <f t="shared" si="1"/>
        <v>-3.5705943746841542</v>
      </c>
      <c r="J11" s="2">
        <v>1.8286766666666667</v>
      </c>
      <c r="K11" s="2">
        <v>1.8448533333333332</v>
      </c>
      <c r="L11" s="31">
        <f t="shared" si="2"/>
        <v>0.88461054715339715</v>
      </c>
      <c r="M11" s="2"/>
      <c r="N11">
        <v>0.18898737807528337</v>
      </c>
      <c r="O11">
        <v>0.15151719559888341</v>
      </c>
      <c r="P11" s="4">
        <f t="shared" si="3"/>
        <v>-19.82681746157337</v>
      </c>
      <c r="R11" s="2">
        <v>-0.25695546408220632</v>
      </c>
      <c r="S11" s="2">
        <v>-0.74667990677329743</v>
      </c>
      <c r="T11" s="4">
        <f t="shared" si="4"/>
        <v>190.58728501465777</v>
      </c>
      <c r="V11" s="2">
        <v>1.3391999999999999</v>
      </c>
      <c r="W11" s="2">
        <v>1.2684800000000001</v>
      </c>
      <c r="X11" s="7">
        <f t="shared" si="5"/>
        <v>-5.2807646356033375</v>
      </c>
      <c r="Z11" s="2">
        <v>1.3673766666666665</v>
      </c>
      <c r="AA11" s="2">
        <v>1.5436300000000001</v>
      </c>
      <c r="AB11" s="116">
        <f t="shared" si="6"/>
        <v>12.889888911370456</v>
      </c>
      <c r="AD11" s="2">
        <v>1.3673766666666665</v>
      </c>
      <c r="AE11" s="2">
        <v>1.4052866666666668</v>
      </c>
      <c r="AF11" s="31">
        <f t="shared" si="7"/>
        <v>2.7724621111471603</v>
      </c>
      <c r="AG11" s="2" t="s">
        <v>114</v>
      </c>
      <c r="AH11" s="11">
        <v>124.79033333333332</v>
      </c>
      <c r="AI11" s="7">
        <v>116.83333333333333</v>
      </c>
      <c r="AJ11" s="7">
        <f t="shared" si="8"/>
        <v>-6.3762951724358947</v>
      </c>
      <c r="AL11" s="115">
        <v>161.084</v>
      </c>
      <c r="AM11" s="116">
        <v>172.65200000000002</v>
      </c>
      <c r="AN11" s="116">
        <f t="shared" si="9"/>
        <v>7.1813463782871123</v>
      </c>
      <c r="AO11" s="2" t="s">
        <v>114</v>
      </c>
      <c r="AP11" s="117">
        <v>161.084</v>
      </c>
      <c r="AQ11" s="31">
        <v>157.39199999999997</v>
      </c>
      <c r="AR11" s="31">
        <f t="shared" si="10"/>
        <v>-2.2919718904422757</v>
      </c>
    </row>
    <row r="12" spans="1:44" x14ac:dyDescent="0.25">
      <c r="A12" s="2" t="s">
        <v>115</v>
      </c>
      <c r="B12" s="2">
        <v>1.0979666666666668</v>
      </c>
      <c r="C12" s="2">
        <v>1.2619333333333334</v>
      </c>
      <c r="D12" s="7">
        <f t="shared" si="0"/>
        <v>14.933665260026102</v>
      </c>
      <c r="E12" s="2"/>
      <c r="F12" s="2">
        <v>1.868853333333333</v>
      </c>
      <c r="G12" s="2">
        <v>2.0737766666666668</v>
      </c>
      <c r="H12" s="41">
        <f t="shared" si="1"/>
        <v>10.965190776518961</v>
      </c>
      <c r="J12" s="2">
        <v>1.9019433333333335</v>
      </c>
      <c r="K12" s="2">
        <v>1.8559766666666666</v>
      </c>
      <c r="L12" s="31">
        <f t="shared" si="2"/>
        <v>-2.416826298715538</v>
      </c>
      <c r="M12" s="2"/>
      <c r="N12">
        <v>-1.7706044348049701E-2</v>
      </c>
      <c r="O12">
        <v>0.10502577423155508</v>
      </c>
      <c r="P12" s="4">
        <f t="shared" si="3"/>
        <v>-693.16339757797766</v>
      </c>
      <c r="R12" s="2">
        <v>-1.1874366053527141</v>
      </c>
      <c r="S12" s="2">
        <v>-1.1534151818900287</v>
      </c>
      <c r="T12" s="2">
        <f t="shared" si="4"/>
        <v>-2.8651149298685952</v>
      </c>
      <c r="V12" s="2">
        <v>1.2070866666666666</v>
      </c>
      <c r="W12" s="2">
        <v>1.35808</v>
      </c>
      <c r="X12" s="7">
        <f t="shared" si="5"/>
        <v>12.508905739991052</v>
      </c>
      <c r="Z12" s="2">
        <v>1.6161133333333331</v>
      </c>
      <c r="AA12" s="2">
        <v>1.7847899999999997</v>
      </c>
      <c r="AB12" s="41">
        <f t="shared" si="6"/>
        <v>10.437180560769249</v>
      </c>
      <c r="AD12" s="2">
        <v>1.6235833333333332</v>
      </c>
      <c r="AE12" s="2">
        <v>1.6435900000000001</v>
      </c>
      <c r="AF12" s="31">
        <f t="shared" si="7"/>
        <v>1.2322537596879508</v>
      </c>
      <c r="AG12" s="2" t="s">
        <v>115</v>
      </c>
      <c r="AH12" s="94">
        <v>110.14933333333333</v>
      </c>
      <c r="AI12" s="11">
        <v>111.41933333333333</v>
      </c>
      <c r="AJ12" s="7">
        <f t="shared" si="8"/>
        <v>1.1529801965816069</v>
      </c>
      <c r="AL12" s="117">
        <v>141.38899999999998</v>
      </c>
      <c r="AM12" s="116">
        <v>138.98099999999999</v>
      </c>
      <c r="AN12" s="41">
        <f t="shared" si="9"/>
        <v>-1.7031027873455413</v>
      </c>
      <c r="AO12" s="2" t="s">
        <v>115</v>
      </c>
      <c r="AP12" s="117">
        <v>143.3176666666667</v>
      </c>
      <c r="AQ12" s="115">
        <v>135.97633333333332</v>
      </c>
      <c r="AR12" s="31">
        <f t="shared" si="10"/>
        <v>-5.1224203575739997</v>
      </c>
    </row>
    <row r="13" spans="1:44" x14ac:dyDescent="0.25">
      <c r="A13" s="2" t="s">
        <v>117</v>
      </c>
      <c r="B13" s="2">
        <v>1.1911899999999997</v>
      </c>
      <c r="C13" s="2">
        <v>1.1899</v>
      </c>
      <c r="D13" s="7">
        <f t="shared" si="0"/>
        <v>-0.10829506627824206</v>
      </c>
      <c r="E13" s="2"/>
      <c r="F13" s="2">
        <v>2.0168733333333333</v>
      </c>
      <c r="G13" s="2">
        <v>2.4093299999999997</v>
      </c>
      <c r="H13" s="116">
        <f t="shared" si="1"/>
        <v>19.458667045691175</v>
      </c>
      <c r="J13" s="2">
        <v>2.0822500000000002</v>
      </c>
      <c r="K13" s="2">
        <v>2.3001199999999997</v>
      </c>
      <c r="L13" s="31">
        <f t="shared" si="2"/>
        <v>10.463200864449492</v>
      </c>
      <c r="M13" s="2"/>
      <c r="N13">
        <v>-3.2414859964764037E-2</v>
      </c>
      <c r="O13">
        <v>4.532795424454103E-2</v>
      </c>
      <c r="P13" s="4">
        <f t="shared" si="3"/>
        <v>-239.83695840060369</v>
      </c>
      <c r="R13" s="2">
        <v>-2.4256666370336504</v>
      </c>
      <c r="S13" s="2">
        <v>-1.4033827836109205</v>
      </c>
      <c r="T13" s="2">
        <f t="shared" si="4"/>
        <v>-42.144449604702551</v>
      </c>
      <c r="V13" s="2">
        <v>1.4704133333333333</v>
      </c>
      <c r="W13" s="2">
        <v>1.4729066666666666</v>
      </c>
      <c r="X13" s="7">
        <f t="shared" si="5"/>
        <v>0.16956683381542853</v>
      </c>
      <c r="Z13" s="2">
        <v>1.7893700000000001</v>
      </c>
      <c r="AA13" s="2">
        <v>1.6589333333333331</v>
      </c>
      <c r="AB13" s="116">
        <f t="shared" si="6"/>
        <v>-7.2895302070933896</v>
      </c>
      <c r="AD13" s="2">
        <v>1.8177499999999998</v>
      </c>
      <c r="AE13" s="2">
        <v>1.7936633333333329</v>
      </c>
      <c r="AF13" s="31">
        <f t="shared" si="7"/>
        <v>-1.3250813734928792</v>
      </c>
      <c r="AG13" s="2" t="s">
        <v>117</v>
      </c>
      <c r="AH13" s="11">
        <v>97.506666666666661</v>
      </c>
      <c r="AI13" s="11">
        <v>97.189333333333323</v>
      </c>
      <c r="AJ13" s="7">
        <f t="shared" si="8"/>
        <v>-0.32544783262683319</v>
      </c>
      <c r="AL13" s="116">
        <v>134.92633333333333</v>
      </c>
      <c r="AM13" s="116">
        <v>174.22733333333335</v>
      </c>
      <c r="AN13" s="116">
        <f t="shared" si="9"/>
        <v>29.127746251658326</v>
      </c>
      <c r="AO13" s="2" t="s">
        <v>117</v>
      </c>
      <c r="AP13" s="31">
        <v>137.03833333333333</v>
      </c>
      <c r="AQ13" s="115">
        <v>153.90199999999999</v>
      </c>
      <c r="AR13" s="31">
        <f t="shared" si="10"/>
        <v>12.30580251267893</v>
      </c>
    </row>
    <row r="14" spans="1:44" x14ac:dyDescent="0.25">
      <c r="A14" s="2" t="s">
        <v>121</v>
      </c>
      <c r="B14" s="2">
        <v>1.4069433333333334</v>
      </c>
      <c r="C14" s="2">
        <v>1.5609166666666667</v>
      </c>
      <c r="D14" s="7">
        <f t="shared" si="0"/>
        <v>10.94381910666859</v>
      </c>
      <c r="E14" s="2"/>
      <c r="F14" s="2">
        <v>2.0209000000000001</v>
      </c>
      <c r="G14" s="2">
        <v>2.0095333333333336</v>
      </c>
      <c r="H14" s="116">
        <f t="shared" si="1"/>
        <v>-0.56245567156546716</v>
      </c>
      <c r="J14" s="2">
        <v>1.7741533333333335</v>
      </c>
      <c r="K14" s="2">
        <v>1.7842999999999998</v>
      </c>
      <c r="L14" s="31">
        <f t="shared" si="2"/>
        <v>0.57191599373220103</v>
      </c>
      <c r="M14" s="2"/>
      <c r="N14">
        <v>0.12209741534299899</v>
      </c>
      <c r="O14">
        <v>0.11208240719238322</v>
      </c>
      <c r="P14" s="4">
        <f t="shared" si="3"/>
        <v>-8.2024735105828199</v>
      </c>
      <c r="R14" s="2">
        <v>-1.3776964560862863</v>
      </c>
      <c r="S14" s="2">
        <v>-1.359722701718882</v>
      </c>
      <c r="T14" s="2">
        <f t="shared" si="4"/>
        <v>-1.3046236918155087</v>
      </c>
      <c r="V14" s="2">
        <v>1.4545133333333333</v>
      </c>
      <c r="W14" s="2">
        <v>1.5705266666666666</v>
      </c>
      <c r="X14" s="7">
        <f t="shared" si="5"/>
        <v>7.976092805382784</v>
      </c>
      <c r="Z14" s="2">
        <v>1.6388033333333332</v>
      </c>
      <c r="AA14" s="2">
        <v>1.5885833333333335</v>
      </c>
      <c r="AB14" s="116">
        <f t="shared" si="6"/>
        <v>-3.064431160135122</v>
      </c>
      <c r="AD14" s="2">
        <v>1.55596</v>
      </c>
      <c r="AE14" s="2">
        <v>1.5348766666666664</v>
      </c>
      <c r="AF14" s="31">
        <f>(AE14-AD14)/AD14*100</f>
        <v>-1.3550048415983422</v>
      </c>
      <c r="AG14" s="2" t="s">
        <v>121</v>
      </c>
      <c r="AH14" s="11">
        <v>118.26933333333334</v>
      </c>
      <c r="AI14" s="11">
        <v>118.89166666666667</v>
      </c>
      <c r="AJ14" s="7">
        <f t="shared" si="8"/>
        <v>0.52620008568013976</v>
      </c>
      <c r="AL14" s="116">
        <v>147.90900000000002</v>
      </c>
      <c r="AM14" s="116">
        <v>152.49566666666666</v>
      </c>
      <c r="AN14" s="116">
        <f t="shared" si="9"/>
        <v>3.1010057986103914</v>
      </c>
      <c r="AO14" s="2" t="s">
        <v>121</v>
      </c>
      <c r="AP14" s="115">
        <v>137.87433333333334</v>
      </c>
      <c r="AQ14" s="115">
        <v>141.54666666666665</v>
      </c>
      <c r="AR14" s="31">
        <f t="shared" si="10"/>
        <v>2.6635366021715279</v>
      </c>
    </row>
    <row r="15" spans="1:44" x14ac:dyDescent="0.25">
      <c r="A15" s="2" t="s">
        <v>122</v>
      </c>
      <c r="B15" s="2">
        <v>1.3192733333333333</v>
      </c>
      <c r="C15" s="2">
        <v>1.2944633333333335</v>
      </c>
      <c r="D15" s="7">
        <f t="shared" si="0"/>
        <v>-1.8805807237317345</v>
      </c>
      <c r="E15" s="2"/>
      <c r="F15" s="2">
        <v>1.6308533333333333</v>
      </c>
      <c r="G15" s="2">
        <v>1.9380466666666667</v>
      </c>
      <c r="H15" s="115">
        <f t="shared" si="1"/>
        <v>18.83635560933336</v>
      </c>
      <c r="J15" s="2">
        <v>1.5775966666666668</v>
      </c>
      <c r="K15" s="2">
        <v>1.6237866666666665</v>
      </c>
      <c r="L15" s="53">
        <f t="shared" si="2"/>
        <v>2.9278712979024886</v>
      </c>
      <c r="M15" s="2"/>
      <c r="N15">
        <v>3.2655705806367126E-2</v>
      </c>
      <c r="O15">
        <v>0.16215295813310318</v>
      </c>
      <c r="P15" s="4">
        <f t="shared" si="3"/>
        <v>396.55321827858648</v>
      </c>
      <c r="R15" s="2">
        <v>-0.76627837409768851</v>
      </c>
      <c r="S15" s="2">
        <v>-1.4513087159601652</v>
      </c>
      <c r="T15" s="2">
        <f t="shared" si="4"/>
        <v>89.397060522439602</v>
      </c>
      <c r="V15" s="2">
        <v>1.4278333333333333</v>
      </c>
      <c r="W15" s="2">
        <v>1.3764600000000002</v>
      </c>
      <c r="X15" s="7">
        <f t="shared" si="5"/>
        <v>-3.5979922960195907</v>
      </c>
      <c r="Z15" s="2">
        <v>1.5086533333333336</v>
      </c>
      <c r="AA15" s="2">
        <v>1.6248500000000001</v>
      </c>
      <c r="AB15" s="115">
        <f t="shared" si="6"/>
        <v>7.7020123907414</v>
      </c>
      <c r="AD15" s="2">
        <v>1.5156666666666663</v>
      </c>
      <c r="AE15" s="2">
        <v>1.5088666666666666</v>
      </c>
      <c r="AF15" s="53">
        <f>(AE15-AD15)/AD15*100</f>
        <v>-0.44864745986362636</v>
      </c>
      <c r="AG15" s="2" t="s">
        <v>122</v>
      </c>
      <c r="AH15" s="11">
        <v>110.557</v>
      </c>
      <c r="AI15" s="11">
        <v>112.60366666666665</v>
      </c>
      <c r="AJ15" s="7">
        <f t="shared" si="8"/>
        <v>1.8512320944550347</v>
      </c>
      <c r="AL15" s="115">
        <v>132.08566666666664</v>
      </c>
      <c r="AM15" s="115">
        <v>143.29633333333334</v>
      </c>
      <c r="AN15" s="115">
        <f t="shared" si="9"/>
        <v>8.487421042404323</v>
      </c>
      <c r="AO15" s="2" t="s">
        <v>122</v>
      </c>
      <c r="AP15" s="127">
        <v>127.20233333333333</v>
      </c>
      <c r="AQ15" s="127">
        <v>129.15733333333333</v>
      </c>
      <c r="AR15" s="128">
        <f t="shared" si="10"/>
        <v>1.5369214925302721</v>
      </c>
    </row>
    <row r="16" spans="1:44" x14ac:dyDescent="0.25">
      <c r="A16" s="61" t="s">
        <v>123</v>
      </c>
      <c r="B16" s="102" t="s">
        <v>148</v>
      </c>
      <c r="C16" s="103" t="s">
        <v>151</v>
      </c>
      <c r="D16" s="7"/>
      <c r="F16" s="102" t="s">
        <v>148</v>
      </c>
      <c r="G16" s="103" t="s">
        <v>151</v>
      </c>
      <c r="H16" s="7"/>
      <c r="J16" s="89" t="s">
        <v>184</v>
      </c>
      <c r="K16" s="102"/>
      <c r="L16" s="103"/>
      <c r="N16" s="61" t="s">
        <v>259</v>
      </c>
      <c r="O16" s="61" t="s">
        <v>259</v>
      </c>
      <c r="P16" s="61"/>
      <c r="R16" s="61" t="s">
        <v>259</v>
      </c>
      <c r="S16" s="61" t="s">
        <v>259</v>
      </c>
      <c r="T16" s="61"/>
      <c r="V16" s="102" t="s">
        <v>148</v>
      </c>
      <c r="W16" s="103" t="s">
        <v>151</v>
      </c>
      <c r="X16" s="7"/>
      <c r="Z16" s="89" t="s">
        <v>184</v>
      </c>
      <c r="AA16" s="102"/>
      <c r="AB16" s="103"/>
      <c r="AD16" s="89" t="s">
        <v>184</v>
      </c>
      <c r="AE16" s="102"/>
      <c r="AF16" s="103"/>
      <c r="AH16" s="102" t="s">
        <v>148</v>
      </c>
      <c r="AI16" s="103" t="s">
        <v>151</v>
      </c>
      <c r="AJ16" s="7"/>
      <c r="AL16" s="102" t="s">
        <v>148</v>
      </c>
      <c r="AM16" s="103" t="s">
        <v>151</v>
      </c>
      <c r="AN16" s="7"/>
      <c r="AP16" s="129" t="s">
        <v>184</v>
      </c>
      <c r="AQ16" s="127"/>
      <c r="AR16" s="128"/>
    </row>
    <row r="17" spans="1:48" x14ac:dyDescent="0.25">
      <c r="A17" s="1" t="s">
        <v>17</v>
      </c>
      <c r="B17">
        <f>AVERAGE(B2:B16)</f>
        <v>1.3845407142857147</v>
      </c>
      <c r="C17" s="2">
        <f t="shared" ref="C17:AR17" si="11">AVERAGE(C2:C16)</f>
        <v>1.3926985714285716</v>
      </c>
      <c r="D17" s="50">
        <f t="shared" si="11"/>
        <v>0.90415669601388127</v>
      </c>
      <c r="E17" s="2"/>
      <c r="F17" s="2">
        <f>AVERAGE(F2:F16)</f>
        <v>1.9527023809523814</v>
      </c>
      <c r="G17" s="2">
        <f t="shared" si="11"/>
        <v>2.0868009523809521</v>
      </c>
      <c r="H17" s="50">
        <f t="shared" si="11"/>
        <v>7.200496552788727</v>
      </c>
      <c r="I17" s="2"/>
      <c r="J17" s="2">
        <f t="shared" si="11"/>
        <v>1.7482221428571434</v>
      </c>
      <c r="K17" s="2">
        <f t="shared" si="11"/>
        <v>1.9078330952380951</v>
      </c>
      <c r="L17" s="50">
        <f>AVERAGE(L2:L16)</f>
        <v>9.7068615280087283</v>
      </c>
      <c r="M17" s="2"/>
      <c r="N17" s="2">
        <f>AVERAGE(N2:N16)</f>
        <v>0.10290566602141092</v>
      </c>
      <c r="O17" s="2">
        <f t="shared" si="11"/>
        <v>8.3245276547549582E-2</v>
      </c>
      <c r="P17" s="50">
        <f t="shared" si="11"/>
        <v>-76.050973811574607</v>
      </c>
      <c r="Q17" s="2"/>
      <c r="R17" s="2">
        <f t="shared" si="11"/>
        <v>-0.81812571976110704</v>
      </c>
      <c r="S17" s="2">
        <f t="shared" si="11"/>
        <v>-1.1530810455207003</v>
      </c>
      <c r="T17" s="50">
        <f t="shared" si="11"/>
        <v>142.70235682007385</v>
      </c>
      <c r="U17" s="2"/>
      <c r="V17" s="2">
        <f t="shared" si="11"/>
        <v>1.3944340476190475</v>
      </c>
      <c r="W17" s="2">
        <f t="shared" si="11"/>
        <v>1.4143678571428573</v>
      </c>
      <c r="X17" s="50">
        <f t="shared" si="11"/>
        <v>1.4567404890285032</v>
      </c>
      <c r="Y17" s="2"/>
      <c r="Z17" s="2">
        <f t="shared" si="11"/>
        <v>1.5618561904761905</v>
      </c>
      <c r="AA17" s="2">
        <f t="shared" si="11"/>
        <v>1.6308438095238091</v>
      </c>
      <c r="AB17" s="50">
        <f t="shared" si="11"/>
        <v>5.1168751505607615</v>
      </c>
      <c r="AC17" s="2"/>
      <c r="AD17" s="2">
        <f t="shared" si="11"/>
        <v>1.5615304761904762</v>
      </c>
      <c r="AE17" s="2">
        <f t="shared" si="11"/>
        <v>1.5977247619047621</v>
      </c>
      <c r="AF17" s="50">
        <f t="shared" si="11"/>
        <v>2.4824305792978172</v>
      </c>
      <c r="AG17" s="2"/>
      <c r="AH17" s="2">
        <f t="shared" si="11"/>
        <v>120.21619047619049</v>
      </c>
      <c r="AI17" s="2">
        <f t="shared" si="11"/>
        <v>118.65785714285713</v>
      </c>
      <c r="AJ17" s="50">
        <f t="shared" si="11"/>
        <v>-1.1545156188267529</v>
      </c>
      <c r="AK17" s="2"/>
      <c r="AL17" s="2">
        <f t="shared" si="11"/>
        <v>148.65171428571429</v>
      </c>
      <c r="AM17" s="2">
        <f t="shared" si="11"/>
        <v>155.17133333333331</v>
      </c>
      <c r="AN17" s="50">
        <f t="shared" si="11"/>
        <v>5.257043903033356</v>
      </c>
      <c r="AO17" s="2"/>
      <c r="AP17" s="2">
        <f t="shared" si="11"/>
        <v>136.29154761904763</v>
      </c>
      <c r="AQ17" s="2">
        <f t="shared" si="11"/>
        <v>144.2367142857143</v>
      </c>
      <c r="AR17" s="50">
        <f t="shared" si="11"/>
        <v>6.2127048222967174</v>
      </c>
    </row>
    <row r="18" spans="1:48" x14ac:dyDescent="0.25">
      <c r="A18" s="1" t="s">
        <v>153</v>
      </c>
      <c r="B18">
        <f>STDEV(B2:B16)</f>
        <v>0.12256294894871861</v>
      </c>
      <c r="C18" s="2">
        <f t="shared" ref="C18:AR18" si="12">STDEV(C2:C16)</f>
        <v>0.1443838189948784</v>
      </c>
      <c r="D18" s="2">
        <f t="shared" si="12"/>
        <v>9.7309501834803367</v>
      </c>
      <c r="E18" s="2"/>
      <c r="F18" s="2">
        <f t="shared" si="12"/>
        <v>0.16641225787171915</v>
      </c>
      <c r="G18" s="2">
        <f t="shared" si="12"/>
        <v>0.20598404996515826</v>
      </c>
      <c r="H18" s="2">
        <f t="shared" si="12"/>
        <v>10.118258260747838</v>
      </c>
      <c r="I18" s="2"/>
      <c r="J18" s="2">
        <f t="shared" si="12"/>
        <v>0.19306959018454414</v>
      </c>
      <c r="K18" s="2">
        <f t="shared" si="12"/>
        <v>0.22177806506592071</v>
      </c>
      <c r="L18" s="2">
        <f t="shared" si="12"/>
        <v>12.242289812319342</v>
      </c>
      <c r="M18" s="2"/>
      <c r="N18" s="2">
        <f t="shared" si="12"/>
        <v>8.667828161650537E-2</v>
      </c>
      <c r="O18" s="2">
        <f t="shared" si="12"/>
        <v>8.7796354766982818E-2</v>
      </c>
      <c r="P18" s="2">
        <f t="shared" si="12"/>
        <v>229.91578632712086</v>
      </c>
      <c r="Q18" s="2"/>
      <c r="R18" s="2">
        <f t="shared" si="12"/>
        <v>0.58563998526955152</v>
      </c>
      <c r="S18" s="2">
        <f t="shared" si="12"/>
        <v>0.75734812500554494</v>
      </c>
      <c r="T18" s="2">
        <f t="shared" si="12"/>
        <v>287.51492971607627</v>
      </c>
      <c r="U18" s="2"/>
      <c r="V18" s="2">
        <f t="shared" si="12"/>
        <v>8.3559685185736754E-2</v>
      </c>
      <c r="W18" s="2">
        <f t="shared" si="12"/>
        <v>0.11151749432039543</v>
      </c>
      <c r="X18" s="2">
        <f t="shared" si="12"/>
        <v>5.7073470448753305</v>
      </c>
      <c r="Y18" s="2"/>
      <c r="Z18" s="2">
        <f t="shared" si="12"/>
        <v>0.2003995675731762</v>
      </c>
      <c r="AA18" s="2">
        <f t="shared" si="12"/>
        <v>0.15131687259882531</v>
      </c>
      <c r="AB18" s="2">
        <f t="shared" si="12"/>
        <v>8.1235813192001665</v>
      </c>
      <c r="AC18" s="2"/>
      <c r="AD18" s="2">
        <f t="shared" si="12"/>
        <v>0.17460209830176598</v>
      </c>
      <c r="AE18" s="2">
        <f t="shared" si="12"/>
        <v>0.16876051175978835</v>
      </c>
      <c r="AF18" s="2">
        <f t="shared" si="12"/>
        <v>4.4952199560578006</v>
      </c>
      <c r="AG18" s="2"/>
      <c r="AH18" s="2">
        <f t="shared" si="12"/>
        <v>10.675109430944373</v>
      </c>
      <c r="AI18" s="2">
        <f t="shared" si="12"/>
        <v>10.032472963975227</v>
      </c>
      <c r="AJ18" s="2">
        <f t="shared" si="12"/>
        <v>4.7811800904320512</v>
      </c>
      <c r="AK18" s="2"/>
      <c r="AL18" s="2">
        <f t="shared" si="12"/>
        <v>18.035541588979413</v>
      </c>
      <c r="AM18" s="2">
        <f t="shared" si="12"/>
        <v>15.936173071156265</v>
      </c>
      <c r="AN18" s="2">
        <f t="shared" si="12"/>
        <v>12.192202934820257</v>
      </c>
      <c r="AO18" s="2"/>
      <c r="AP18" s="2">
        <f t="shared" si="12"/>
        <v>13.807071662402583</v>
      </c>
      <c r="AQ18" s="2">
        <f t="shared" si="12"/>
        <v>15.734967559007762</v>
      </c>
      <c r="AR18" s="2">
        <f t="shared" si="12"/>
        <v>10.950091318784358</v>
      </c>
    </row>
    <row r="20" spans="1:48" x14ac:dyDescent="0.25">
      <c r="C20" s="50" t="s">
        <v>283</v>
      </c>
      <c r="D20" s="2"/>
      <c r="G20" s="50" t="s">
        <v>283</v>
      </c>
      <c r="K20" s="50" t="s">
        <v>283</v>
      </c>
      <c r="O20" s="50" t="s">
        <v>283</v>
      </c>
      <c r="S20" s="50" t="s">
        <v>283</v>
      </c>
      <c r="W20" s="50" t="s">
        <v>283</v>
      </c>
      <c r="AA20" s="50" t="s">
        <v>283</v>
      </c>
      <c r="AE20" s="50" t="s">
        <v>283</v>
      </c>
      <c r="AI20" s="50" t="s">
        <v>283</v>
      </c>
      <c r="AM20" s="50" t="s">
        <v>283</v>
      </c>
      <c r="AQ20" s="50" t="s">
        <v>283</v>
      </c>
    </row>
    <row r="21" spans="1:48" s="140" customFormat="1" ht="30" x14ac:dyDescent="0.25">
      <c r="C21" s="137" t="s">
        <v>407</v>
      </c>
      <c r="G21" s="137" t="s">
        <v>425</v>
      </c>
      <c r="K21" s="137" t="s">
        <v>406</v>
      </c>
      <c r="O21" s="188" t="s">
        <v>428</v>
      </c>
      <c r="S21" s="137" t="s">
        <v>426</v>
      </c>
      <c r="W21" s="137" t="s">
        <v>408</v>
      </c>
      <c r="AA21" s="137" t="s">
        <v>409</v>
      </c>
      <c r="AE21" s="137" t="s">
        <v>410</v>
      </c>
      <c r="AI21" s="137" t="s">
        <v>411</v>
      </c>
      <c r="AM21" s="137" t="s">
        <v>412</v>
      </c>
      <c r="AQ21" s="137" t="s">
        <v>413</v>
      </c>
      <c r="AV21" s="141"/>
    </row>
    <row r="23" spans="1:48" x14ac:dyDescent="0.25">
      <c r="A23" s="2" t="s">
        <v>281</v>
      </c>
      <c r="B23">
        <v>-8.1580000000000003E-3</v>
      </c>
      <c r="C23">
        <v>0.13128699999999999</v>
      </c>
      <c r="F23">
        <v>-0.134099</v>
      </c>
      <c r="G23">
        <v>0.19902600000000001</v>
      </c>
      <c r="J23">
        <v>-0.159611</v>
      </c>
      <c r="K23">
        <v>0.18795700000000001</v>
      </c>
      <c r="N23">
        <v>-1.966E-2</v>
      </c>
      <c r="O23">
        <v>9.9400000000000002E-2</v>
      </c>
      <c r="R23">
        <v>0.334955</v>
      </c>
      <c r="S23">
        <v>0.944025</v>
      </c>
      <c r="V23">
        <v>-1.9934E-2</v>
      </c>
      <c r="W23">
        <v>7.6817999999999997E-2</v>
      </c>
      <c r="Z23">
        <v>-6.8987999999999994E-2</v>
      </c>
      <c r="AA23">
        <v>0.10659299999999999</v>
      </c>
      <c r="AD23">
        <v>-3.6193999999999997E-2</v>
      </c>
      <c r="AE23">
        <v>6.5907999999999994E-2</v>
      </c>
      <c r="AH23">
        <v>1.55881</v>
      </c>
      <c r="AI23">
        <v>5.8362340000000001</v>
      </c>
      <c r="AL23">
        <v>-6.5193810000000001</v>
      </c>
      <c r="AM23">
        <v>19.631753</v>
      </c>
      <c r="AP23">
        <v>-7.9457380000000004</v>
      </c>
      <c r="AQ23">
        <v>14.356747</v>
      </c>
    </row>
    <row r="24" spans="1:48" s="2" customFormat="1" x14ac:dyDescent="0.25">
      <c r="B24" s="50" t="s">
        <v>282</v>
      </c>
      <c r="C24" s="56">
        <f>B23/C23</f>
        <v>-6.2138673288292069E-2</v>
      </c>
      <c r="F24" s="50" t="s">
        <v>282</v>
      </c>
      <c r="G24" s="56">
        <f>F23/G23</f>
        <v>-0.67377629053490495</v>
      </c>
      <c r="J24" s="50" t="s">
        <v>282</v>
      </c>
      <c r="K24" s="56">
        <f>J23/K23</f>
        <v>-0.8491889102294673</v>
      </c>
      <c r="N24" s="50" t="s">
        <v>282</v>
      </c>
      <c r="O24" s="50">
        <f>N23/O23</f>
        <v>-0.19778672032193159</v>
      </c>
      <c r="R24" s="50" t="s">
        <v>282</v>
      </c>
      <c r="S24" s="50">
        <f>R23/S23</f>
        <v>0.35481581525912981</v>
      </c>
      <c r="V24" s="50" t="s">
        <v>282</v>
      </c>
      <c r="W24" s="56">
        <f>V23/W23</f>
        <v>-0.25949647218099925</v>
      </c>
      <c r="Z24" s="50" t="s">
        <v>282</v>
      </c>
      <c r="AA24" s="56">
        <f>Z23/AA23</f>
        <v>-0.64720947904646642</v>
      </c>
      <c r="AD24" s="50" t="s">
        <v>282</v>
      </c>
      <c r="AE24" s="56">
        <f>AD23/AE23</f>
        <v>-0.54915943436305148</v>
      </c>
      <c r="AH24" s="50" t="s">
        <v>282</v>
      </c>
      <c r="AI24" s="56">
        <f>AH23/AI23</f>
        <v>0.26709175814403602</v>
      </c>
      <c r="AL24" s="50" t="s">
        <v>282</v>
      </c>
      <c r="AM24" s="56">
        <f>AL23/AM23</f>
        <v>-0.33208348739921495</v>
      </c>
      <c r="AP24" s="50" t="s">
        <v>282</v>
      </c>
      <c r="AQ24" s="56">
        <f>AP23/AQ23</f>
        <v>-0.55344974735572061</v>
      </c>
      <c r="AV24" s="135"/>
    </row>
    <row r="25" spans="1:48" s="2" customFormat="1" x14ac:dyDescent="0.25">
      <c r="AV25" s="135"/>
    </row>
    <row r="26" spans="1:48" s="2" customFormat="1" x14ac:dyDescent="0.25">
      <c r="B26" s="189"/>
      <c r="C26" s="189" t="s">
        <v>447</v>
      </c>
      <c r="D26" s="190">
        <f>(C17-B17)/B17*100</f>
        <v>0.58921034670082106</v>
      </c>
      <c r="E26" s="190"/>
      <c r="F26" s="190"/>
      <c r="G26" s="190">
        <f>(G17-F17)/F17*100</f>
        <v>6.8673328171581147</v>
      </c>
      <c r="H26" s="190"/>
      <c r="I26" s="190"/>
      <c r="J26" s="190"/>
      <c r="K26" s="190">
        <f>(K17-J17)/J17*100</f>
        <v>9.1299010845439419</v>
      </c>
      <c r="L26" s="190"/>
      <c r="M26" s="190"/>
      <c r="N26" s="190"/>
      <c r="O26" s="190">
        <f>(O17-N17)/N17*100</f>
        <v>-19.105254583135128</v>
      </c>
      <c r="P26" s="190"/>
      <c r="Q26" s="190"/>
      <c r="R26" s="190"/>
      <c r="S26" s="190">
        <f>(S17-R17)/R17*100</f>
        <v>40.941791422643497</v>
      </c>
      <c r="T26" s="190"/>
      <c r="U26" s="190"/>
      <c r="V26" s="190"/>
      <c r="W26" s="190">
        <f>(W17-V17)/V17*100</f>
        <v>1.4295268792271745</v>
      </c>
      <c r="X26" s="190"/>
      <c r="Y26" s="190"/>
      <c r="Z26" s="190"/>
      <c r="AA26" s="190"/>
      <c r="AB26" s="190">
        <f>(AA17-Z17)/Z17*100</f>
        <v>4.4170276026876181</v>
      </c>
      <c r="AC26" s="190"/>
      <c r="AD26" s="190"/>
      <c r="AE26" s="190"/>
      <c r="AF26" s="190">
        <f>(AE17-AD17)/AD17*100</f>
        <v>2.3178725145720978</v>
      </c>
      <c r="AG26" s="190"/>
      <c r="AH26" s="190"/>
      <c r="AI26" s="190"/>
      <c r="AJ26" s="190">
        <f>(AI17-AH17)/AH17*100</f>
        <v>-1.2962757571676691</v>
      </c>
      <c r="AK26" s="190"/>
      <c r="AL26" s="190"/>
      <c r="AM26" s="190">
        <f>(AM17-AL17)/AL17*100</f>
        <v>4.3858350903966423</v>
      </c>
      <c r="AN26" s="190"/>
      <c r="AO26" s="190"/>
      <c r="AP26" s="190"/>
      <c r="AQ26" s="190">
        <f>(AQ17-AP17)/AP17*100</f>
        <v>5.8295373450996575</v>
      </c>
      <c r="AV26" s="135"/>
    </row>
    <row r="27" spans="1:48" s="2" customFormat="1" x14ac:dyDescent="0.25">
      <c r="AV27" s="135"/>
    </row>
    <row r="28" spans="1:48" x14ac:dyDescent="0.25">
      <c r="B28" s="135" t="s">
        <v>49</v>
      </c>
      <c r="Z28" s="50"/>
      <c r="AD28" s="50"/>
      <c r="AH28" s="112"/>
      <c r="AI28" s="112"/>
      <c r="AL28" s="50"/>
      <c r="AP28" s="50"/>
    </row>
    <row r="29" spans="1:48" s="2" customFormat="1" x14ac:dyDescent="0.25">
      <c r="B29" s="2" t="s">
        <v>241</v>
      </c>
      <c r="V29" s="112"/>
      <c r="W29" s="112"/>
      <c r="AH29" s="112"/>
      <c r="AI29" s="11"/>
      <c r="AV29" s="135"/>
    </row>
    <row r="30" spans="1:48" x14ac:dyDescent="0.25">
      <c r="B30" t="s">
        <v>240</v>
      </c>
      <c r="V30" s="112"/>
      <c r="W30" s="11"/>
      <c r="AH30" s="112"/>
      <c r="AI30" s="112"/>
    </row>
    <row r="31" spans="1:48" x14ac:dyDescent="0.25">
      <c r="B31" t="s">
        <v>242</v>
      </c>
      <c r="V31" s="112"/>
      <c r="W31" s="112"/>
      <c r="AH31" s="112"/>
      <c r="AI31" s="112"/>
    </row>
    <row r="32" spans="1:48" x14ac:dyDescent="0.25">
      <c r="B32" t="s">
        <v>429</v>
      </c>
      <c r="V32" s="112"/>
      <c r="W32" s="112"/>
      <c r="AH32" s="112"/>
      <c r="AI32" s="112"/>
    </row>
    <row r="33" spans="2:35" x14ac:dyDescent="0.25">
      <c r="B33" t="s">
        <v>243</v>
      </c>
      <c r="V33" s="112"/>
      <c r="W33" s="112"/>
      <c r="AH33" s="112"/>
      <c r="AI33" s="112"/>
    </row>
    <row r="34" spans="2:35" x14ac:dyDescent="0.25">
      <c r="B34" t="s">
        <v>244</v>
      </c>
      <c r="V34" s="112"/>
      <c r="W34" s="112"/>
      <c r="AH34" s="112"/>
      <c r="AI34" s="112"/>
    </row>
    <row r="35" spans="2:35" x14ac:dyDescent="0.25">
      <c r="B35" t="s">
        <v>284</v>
      </c>
      <c r="H35" s="4"/>
      <c r="I35" s="4" t="s">
        <v>405</v>
      </c>
      <c r="J35" s="4"/>
      <c r="K35" s="4"/>
      <c r="L35" s="4"/>
      <c r="M35" s="4"/>
      <c r="N35" s="4"/>
      <c r="V35" s="112"/>
      <c r="W35" s="112"/>
      <c r="AH35" s="11"/>
      <c r="AI35" s="11"/>
    </row>
    <row r="36" spans="2:35" x14ac:dyDescent="0.25">
      <c r="V36" s="11"/>
      <c r="W36" s="11"/>
      <c r="AH36" s="11"/>
      <c r="AI36" s="11"/>
    </row>
    <row r="37" spans="2:35" x14ac:dyDescent="0.25">
      <c r="B37" s="112"/>
      <c r="C37" s="112"/>
      <c r="V37" s="11"/>
      <c r="W37" s="11"/>
      <c r="AH37" s="11"/>
      <c r="AI37" s="7"/>
    </row>
    <row r="38" spans="2:35" x14ac:dyDescent="0.25">
      <c r="B38" s="112"/>
      <c r="C38" s="11"/>
      <c r="V38" s="11"/>
      <c r="W38" s="7"/>
      <c r="AH38" s="94"/>
      <c r="AI38" s="11"/>
    </row>
    <row r="39" spans="2:35" x14ac:dyDescent="0.25">
      <c r="B39" s="112"/>
      <c r="C39" s="112"/>
      <c r="V39" s="94"/>
      <c r="W39" s="11"/>
      <c r="AH39" s="11"/>
      <c r="AI39" s="11"/>
    </row>
    <row r="40" spans="2:35" x14ac:dyDescent="0.25">
      <c r="B40" s="112"/>
      <c r="C40" s="112"/>
      <c r="V40" s="11"/>
      <c r="W40" s="11"/>
      <c r="AH40" s="11"/>
      <c r="AI40" s="11"/>
    </row>
    <row r="41" spans="2:35" x14ac:dyDescent="0.25">
      <c r="B41" s="112"/>
      <c r="C41" s="112"/>
      <c r="V41" s="11"/>
      <c r="W41" s="11"/>
      <c r="AH41" s="11"/>
      <c r="AI41" s="11"/>
    </row>
    <row r="42" spans="2:35" x14ac:dyDescent="0.25">
      <c r="B42" s="112"/>
      <c r="C42" s="112"/>
      <c r="V42" s="11"/>
      <c r="W42" s="11"/>
    </row>
    <row r="43" spans="2:35" x14ac:dyDescent="0.25">
      <c r="B43" s="112"/>
      <c r="C43" s="112"/>
    </row>
    <row r="44" spans="2:35" x14ac:dyDescent="0.25">
      <c r="B44" s="11"/>
      <c r="C44" s="11"/>
    </row>
    <row r="45" spans="2:35" x14ac:dyDescent="0.25">
      <c r="B45" s="11"/>
      <c r="C45" s="11"/>
    </row>
    <row r="46" spans="2:35" x14ac:dyDescent="0.25">
      <c r="B46" s="11"/>
      <c r="C46" s="7"/>
    </row>
    <row r="47" spans="2:35" x14ac:dyDescent="0.25">
      <c r="B47" s="94"/>
      <c r="C47" s="11"/>
    </row>
    <row r="48" spans="2:35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O29"/>
  <sheetViews>
    <sheetView topLeftCell="U1" workbookViewId="0">
      <selection activeCell="AH17" sqref="AH17"/>
    </sheetView>
  </sheetViews>
  <sheetFormatPr defaultRowHeight="15" x14ac:dyDescent="0.25"/>
  <cols>
    <col min="5" max="5" width="9.140625" style="2"/>
    <col min="6" max="6" width="9.42578125" bestFit="1" customWidth="1"/>
    <col min="9" max="9" width="9.140625" style="2"/>
    <col min="10" max="10" width="9.42578125" bestFit="1" customWidth="1"/>
    <col min="14" max="14" width="9.42578125" bestFit="1" customWidth="1"/>
    <col min="16" max="16" width="9.140625" style="2"/>
    <col min="19" max="19" width="9.42578125" bestFit="1" customWidth="1"/>
    <col min="20" max="20" width="9.140625" style="2"/>
    <col min="29" max="29" width="9.140625" style="2"/>
    <col min="33" max="33" width="9.140625" style="2"/>
    <col min="35" max="35" width="10.7109375" customWidth="1"/>
    <col min="41" max="41" width="9.140625" style="136"/>
  </cols>
  <sheetData>
    <row r="1" spans="1:40" x14ac:dyDescent="0.25">
      <c r="A1" s="2" t="s">
        <v>0</v>
      </c>
      <c r="B1" s="2" t="s">
        <v>260</v>
      </c>
      <c r="C1" s="2" t="s">
        <v>261</v>
      </c>
      <c r="D1" s="2" t="s">
        <v>23</v>
      </c>
      <c r="F1" s="2" t="s">
        <v>262</v>
      </c>
      <c r="G1" s="2" t="s">
        <v>263</v>
      </c>
      <c r="H1" s="2" t="s">
        <v>23</v>
      </c>
      <c r="J1" s="2" t="s">
        <v>264</v>
      </c>
      <c r="K1" s="2" t="s">
        <v>265</v>
      </c>
      <c r="L1" t="s">
        <v>23</v>
      </c>
      <c r="N1" s="2" t="s">
        <v>266</v>
      </c>
      <c r="O1" s="2" t="s">
        <v>267</v>
      </c>
      <c r="P1" s="2" t="s">
        <v>23</v>
      </c>
      <c r="Q1" s="2"/>
      <c r="R1" s="2" t="s">
        <v>268</v>
      </c>
      <c r="S1" s="2" t="s">
        <v>269</v>
      </c>
      <c r="T1" s="2" t="s">
        <v>23</v>
      </c>
      <c r="U1" s="2"/>
      <c r="V1" s="2" t="s">
        <v>270</v>
      </c>
      <c r="W1" s="2" t="s">
        <v>271</v>
      </c>
      <c r="X1" s="2" t="s">
        <v>23</v>
      </c>
      <c r="Z1" s="2" t="s">
        <v>272</v>
      </c>
      <c r="AA1" s="2" t="s">
        <v>273</v>
      </c>
      <c r="AB1" s="2" t="s">
        <v>23</v>
      </c>
      <c r="AD1" s="2" t="s">
        <v>274</v>
      </c>
      <c r="AE1" s="2" t="s">
        <v>275</v>
      </c>
      <c r="AF1" s="2" t="s">
        <v>23</v>
      </c>
      <c r="AH1" s="2" t="s">
        <v>276</v>
      </c>
      <c r="AI1" s="2" t="s">
        <v>277</v>
      </c>
      <c r="AJ1" s="2" t="s">
        <v>23</v>
      </c>
    </row>
    <row r="2" spans="1:40" x14ac:dyDescent="0.25">
      <c r="A2" s="2" t="s">
        <v>11</v>
      </c>
      <c r="B2" s="89" t="s">
        <v>184</v>
      </c>
      <c r="C2" s="102"/>
      <c r="D2" s="103"/>
      <c r="F2" s="89" t="s">
        <v>184</v>
      </c>
      <c r="G2" s="102"/>
      <c r="H2" s="103"/>
      <c r="J2" s="89" t="s">
        <v>184</v>
      </c>
      <c r="K2" s="102"/>
      <c r="L2" s="103"/>
      <c r="N2" s="89" t="s">
        <v>184</v>
      </c>
      <c r="O2" s="102"/>
      <c r="P2" s="103"/>
      <c r="R2" s="89" t="s">
        <v>184</v>
      </c>
      <c r="S2" s="102"/>
      <c r="T2" s="103"/>
      <c r="V2" s="89" t="s">
        <v>184</v>
      </c>
      <c r="W2" s="102"/>
      <c r="X2" s="103"/>
      <c r="Z2" s="89" t="s">
        <v>184</v>
      </c>
      <c r="AA2" s="102"/>
      <c r="AB2" s="103"/>
      <c r="AC2" s="103"/>
      <c r="AD2" s="89" t="s">
        <v>184</v>
      </c>
      <c r="AE2" s="102"/>
      <c r="AF2" s="103"/>
      <c r="AH2" s="89" t="s">
        <v>184</v>
      </c>
      <c r="AI2" s="102"/>
      <c r="AJ2" s="103"/>
    </row>
    <row r="3" spans="1:40" x14ac:dyDescent="0.25">
      <c r="A3" s="2" t="s">
        <v>10</v>
      </c>
      <c r="B3" s="2">
        <v>0.32853333333333301</v>
      </c>
      <c r="C3" s="2">
        <v>0.32509497206703908</v>
      </c>
      <c r="D3">
        <f>(C3-B3)/B3*100</f>
        <v>-1.0465791192047289</v>
      </c>
      <c r="F3" s="2">
        <v>0.27240000000000003</v>
      </c>
      <c r="G3" s="2">
        <v>0.24692737430167594</v>
      </c>
      <c r="H3">
        <f>(G3-F3)/F3*100</f>
        <v>-9.3511841770646438</v>
      </c>
      <c r="J3" s="2">
        <v>0.60093333333333321</v>
      </c>
      <c r="K3" s="2">
        <v>0.57202234636871507</v>
      </c>
      <c r="L3">
        <f>(K3-J3)/J3*100</f>
        <v>-4.8110140278374987</v>
      </c>
      <c r="N3" s="2">
        <v>0.36466666666666664</v>
      </c>
      <c r="O3" s="2">
        <v>0.41698324022346361</v>
      </c>
      <c r="P3" s="2">
        <f>(O3-N3)/N3*100</f>
        <v>14.346409567677417</v>
      </c>
      <c r="R3" s="2">
        <v>0.24186666666666667</v>
      </c>
      <c r="S3" s="2">
        <v>0.21439106145251396</v>
      </c>
      <c r="T3" s="2">
        <f>(S3-R3)/R3*100</f>
        <v>-11.359814724704814</v>
      </c>
      <c r="V3" s="2">
        <v>0.60653333333333304</v>
      </c>
      <c r="W3" s="2">
        <v>0.63137430167597763</v>
      </c>
      <c r="X3">
        <f>(W3-V3)/V3*100</f>
        <v>4.0955652356525523</v>
      </c>
      <c r="Z3">
        <v>0.69319999999999959</v>
      </c>
      <c r="AA3">
        <v>0.74207821229050275</v>
      </c>
      <c r="AB3">
        <f>(AA3-Z3)/Z3*100</f>
        <v>7.0510981376952078</v>
      </c>
      <c r="AD3">
        <v>0.51426666666666665</v>
      </c>
      <c r="AE3">
        <v>0.4613184357541899</v>
      </c>
      <c r="AF3">
        <f>(AE3-AD3)/AD3*100</f>
        <v>-10.295870672636131</v>
      </c>
      <c r="AG3" s="2" t="s">
        <v>10</v>
      </c>
      <c r="AH3">
        <v>1.2074666666666662</v>
      </c>
      <c r="AI3">
        <v>1.2033966480446927</v>
      </c>
      <c r="AJ3">
        <f>(AI3-AH3)/AH3*100</f>
        <v>-0.33707088852475192</v>
      </c>
    </row>
    <row r="4" spans="1:40" x14ac:dyDescent="0.25">
      <c r="A4" s="2" t="s">
        <v>12</v>
      </c>
      <c r="B4" s="2">
        <v>0.42413333333333336</v>
      </c>
      <c r="C4" s="2">
        <v>0.51477094972067039</v>
      </c>
      <c r="D4" s="2">
        <f t="shared" ref="D4:D15" si="0">(C4-B4)/B4*100</f>
        <v>21.37007616802979</v>
      </c>
      <c r="F4" s="2">
        <v>0.32866666666666666</v>
      </c>
      <c r="G4" s="2">
        <v>0.42288268156424574</v>
      </c>
      <c r="H4" s="2">
        <f t="shared" ref="H4:H15" si="1">(G4-F4)/F4*100</f>
        <v>28.666130293381059</v>
      </c>
      <c r="J4" s="2">
        <v>0.75280000000000002</v>
      </c>
      <c r="K4" s="2">
        <v>0.93765363128491619</v>
      </c>
      <c r="L4" s="2">
        <f t="shared" ref="L4:L15" si="2">(K4-J4)/J4*100</f>
        <v>24.555477056976109</v>
      </c>
      <c r="N4" s="2">
        <v>0.48253333333333331</v>
      </c>
      <c r="O4" s="2">
        <v>0.56518435754189944</v>
      </c>
      <c r="P4" s="2">
        <f t="shared" ref="P4:P15" si="3">(O4-N4)/N4*100</f>
        <v>17.128562629572976</v>
      </c>
      <c r="R4" s="2">
        <v>0.34279999999999999</v>
      </c>
      <c r="S4" s="2">
        <v>0.45077094972067033</v>
      </c>
      <c r="T4" s="2">
        <f t="shared" ref="T4:T15" si="4">(S4-R4)/R4*100</f>
        <v>31.496776464606285</v>
      </c>
      <c r="V4" s="2">
        <v>0.82533333333333325</v>
      </c>
      <c r="W4" s="2">
        <v>1.0159553072625698</v>
      </c>
      <c r="X4" s="2">
        <f t="shared" ref="X4:X15" si="5">(W4-V4)/V4*100</f>
        <v>23.096361946191827</v>
      </c>
      <c r="Z4">
        <v>0.90666666666666673</v>
      </c>
      <c r="AA4">
        <v>1.0799553072625698</v>
      </c>
      <c r="AB4" s="2">
        <f t="shared" ref="AB4:AB15" si="6">(AA4-Z4)/Z4*100</f>
        <v>19.112717712783429</v>
      </c>
      <c r="AD4">
        <v>0.67146666666666666</v>
      </c>
      <c r="AE4">
        <v>0.87365363128491613</v>
      </c>
      <c r="AF4" s="2">
        <f t="shared" ref="AF4:AF15" si="7">(AE4-AD4)/AD4*100</f>
        <v>30.111243737825085</v>
      </c>
      <c r="AG4" s="2" t="s">
        <v>12</v>
      </c>
      <c r="AH4">
        <v>1.5781333333333332</v>
      </c>
      <c r="AI4">
        <v>1.953608938547486</v>
      </c>
      <c r="AJ4" s="2">
        <f t="shared" ref="AJ4:AJ15" si="8">(AI4-AH4)/AH4*100</f>
        <v>23.792387961356422</v>
      </c>
    </row>
    <row r="5" spans="1:40" x14ac:dyDescent="0.25">
      <c r="A5" s="2" t="s">
        <v>13</v>
      </c>
      <c r="B5" s="2">
        <v>0.38679999999999998</v>
      </c>
      <c r="C5" s="2">
        <v>0.31861271676300579</v>
      </c>
      <c r="D5" s="2">
        <f t="shared" si="0"/>
        <v>-17.628563401497981</v>
      </c>
      <c r="F5" s="2">
        <v>0.47773333333333329</v>
      </c>
      <c r="G5" s="2">
        <v>0.34811560693641619</v>
      </c>
      <c r="H5" s="2">
        <f t="shared" si="1"/>
        <v>-27.131815461258117</v>
      </c>
      <c r="J5" s="2">
        <v>0.86453333333333338</v>
      </c>
      <c r="K5" s="2">
        <v>0.66672832369942192</v>
      </c>
      <c r="L5" s="2">
        <f t="shared" si="2"/>
        <v>-22.879974895964462</v>
      </c>
      <c r="N5" s="2">
        <v>0.36639999999999995</v>
      </c>
      <c r="O5" s="2">
        <v>0.40702890173410411</v>
      </c>
      <c r="P5" s="2">
        <f t="shared" si="3"/>
        <v>11.088674054067731</v>
      </c>
      <c r="R5" s="2">
        <v>0.45813333333333334</v>
      </c>
      <c r="S5" s="2">
        <v>0.36462427745664738</v>
      </c>
      <c r="T5" s="2">
        <f t="shared" si="4"/>
        <v>-20.410882394503627</v>
      </c>
      <c r="V5" s="2">
        <v>0.82453333333333334</v>
      </c>
      <c r="W5" s="2">
        <v>0.77165317919075149</v>
      </c>
      <c r="X5" s="2">
        <f t="shared" si="5"/>
        <v>-6.4133434034502574</v>
      </c>
      <c r="Z5">
        <v>0.75319999999999987</v>
      </c>
      <c r="AA5">
        <v>0.72564161849710995</v>
      </c>
      <c r="AB5" s="2">
        <f t="shared" si="6"/>
        <v>-3.6588398171654171</v>
      </c>
      <c r="AD5">
        <v>0.93586666666666662</v>
      </c>
      <c r="AE5">
        <v>0.71273988439306357</v>
      </c>
      <c r="AF5" s="2">
        <f t="shared" si="7"/>
        <v>-23.841727696994202</v>
      </c>
      <c r="AG5" s="2" t="s">
        <v>13</v>
      </c>
      <c r="AH5">
        <v>1.6890666666666667</v>
      </c>
      <c r="AI5">
        <v>1.4383815028901734</v>
      </c>
      <c r="AJ5" s="2">
        <f t="shared" si="8"/>
        <v>-14.841638209059834</v>
      </c>
    </row>
    <row r="6" spans="1:40" x14ac:dyDescent="0.25">
      <c r="A6" s="2" t="s">
        <v>14</v>
      </c>
      <c r="B6" s="2">
        <v>0.37786666666666668</v>
      </c>
      <c r="C6" s="2">
        <v>0.31902890173410403</v>
      </c>
      <c r="D6" s="2">
        <f t="shared" si="0"/>
        <v>-15.571038708335211</v>
      </c>
      <c r="F6" s="2">
        <v>0.40066666666666667</v>
      </c>
      <c r="G6" s="2">
        <v>0.30316763005780351</v>
      </c>
      <c r="H6" s="2">
        <f t="shared" si="1"/>
        <v>-24.334202148634734</v>
      </c>
      <c r="J6" s="2">
        <v>0.7785333333333333</v>
      </c>
      <c r="K6" s="2">
        <v>0.62219653179190748</v>
      </c>
      <c r="L6" s="2">
        <f t="shared" si="2"/>
        <v>-20.080938714860313</v>
      </c>
      <c r="N6" s="2">
        <v>0.34306666666666663</v>
      </c>
      <c r="O6" s="2">
        <v>0.32272832369942195</v>
      </c>
      <c r="P6" s="2">
        <f t="shared" si="3"/>
        <v>-5.9283937914626943</v>
      </c>
      <c r="R6" s="2">
        <v>0.39826666666666666</v>
      </c>
      <c r="S6" s="2">
        <v>0.28254335260115609</v>
      </c>
      <c r="T6" s="2">
        <f t="shared" si="4"/>
        <v>-29.056741060975199</v>
      </c>
      <c r="V6" s="2">
        <v>0.74133333333333329</v>
      </c>
      <c r="W6" s="2">
        <v>0.60527167630057799</v>
      </c>
      <c r="X6" s="2">
        <f t="shared" si="5"/>
        <v>-18.353640786792532</v>
      </c>
      <c r="Z6">
        <v>0.72093333333333331</v>
      </c>
      <c r="AA6">
        <v>0.64175722543352598</v>
      </c>
      <c r="AB6" s="2">
        <f t="shared" si="6"/>
        <v>-10.982445149779082</v>
      </c>
      <c r="AD6">
        <v>0.79893333333333327</v>
      </c>
      <c r="AE6">
        <v>0.5857109826589596</v>
      </c>
      <c r="AF6" s="2">
        <f t="shared" si="7"/>
        <v>-26.688378338748375</v>
      </c>
      <c r="AG6" s="2" t="s">
        <v>14</v>
      </c>
      <c r="AH6">
        <v>1.5198666666666667</v>
      </c>
      <c r="AI6">
        <v>1.2274682080924855</v>
      </c>
      <c r="AJ6" s="2">
        <f t="shared" si="8"/>
        <v>-19.238428277097633</v>
      </c>
    </row>
    <row r="7" spans="1:40" x14ac:dyDescent="0.25">
      <c r="A7" s="2" t="s">
        <v>15</v>
      </c>
      <c r="B7" s="2">
        <v>0.29146666666666665</v>
      </c>
      <c r="C7" s="2">
        <v>0.36480924855491337</v>
      </c>
      <c r="D7" s="2">
        <f t="shared" si="0"/>
        <v>25.163282898529292</v>
      </c>
      <c r="F7" s="2">
        <v>0.31573333333333337</v>
      </c>
      <c r="G7" s="2">
        <v>0.34173410404624277</v>
      </c>
      <c r="H7" s="2">
        <f t="shared" si="1"/>
        <v>8.2350413997812719</v>
      </c>
      <c r="J7" s="2">
        <v>0.60719999999999996</v>
      </c>
      <c r="K7" s="2">
        <v>0.70654335260115597</v>
      </c>
      <c r="L7" s="2">
        <f t="shared" si="2"/>
        <v>16.360894697160081</v>
      </c>
      <c r="N7" s="2">
        <v>0.36346666666666672</v>
      </c>
      <c r="O7" s="2">
        <v>0.42668208092485543</v>
      </c>
      <c r="P7" s="2">
        <f t="shared" si="3"/>
        <v>17.392355353500193</v>
      </c>
      <c r="R7" s="2">
        <v>0.33746666666666669</v>
      </c>
      <c r="S7" s="2">
        <v>0.34742196531791908</v>
      </c>
      <c r="T7" s="2">
        <f t="shared" si="4"/>
        <v>2.9500094778503709</v>
      </c>
      <c r="V7" s="2">
        <v>0.70093333333333319</v>
      </c>
      <c r="W7" s="2">
        <v>0.77410404624277462</v>
      </c>
      <c r="X7" s="2">
        <f t="shared" si="5"/>
        <v>10.439040266707455</v>
      </c>
      <c r="Z7">
        <v>0.65493333333333337</v>
      </c>
      <c r="AA7">
        <v>0.79149132947976875</v>
      </c>
      <c r="AB7" s="2">
        <f t="shared" si="6"/>
        <v>20.850671235713868</v>
      </c>
      <c r="AD7">
        <v>0.6532</v>
      </c>
      <c r="AE7">
        <v>0.68915606936416185</v>
      </c>
      <c r="AF7" s="2">
        <f t="shared" si="7"/>
        <v>5.504603393166235</v>
      </c>
      <c r="AG7" s="2" t="s">
        <v>15</v>
      </c>
      <c r="AH7">
        <v>1.3081333333333331</v>
      </c>
      <c r="AI7">
        <v>1.4806473988439306</v>
      </c>
      <c r="AJ7" s="2">
        <f t="shared" si="8"/>
        <v>13.187804416771797</v>
      </c>
    </row>
    <row r="8" spans="1:40" x14ac:dyDescent="0.25">
      <c r="A8" s="2" t="s">
        <v>16</v>
      </c>
      <c r="B8" s="2">
        <v>0.31479999999999997</v>
      </c>
      <c r="C8" s="2">
        <v>0.37572254335260113</v>
      </c>
      <c r="D8" s="2">
        <f t="shared" si="0"/>
        <v>19.352777430940652</v>
      </c>
      <c r="F8" s="2">
        <v>0.35266666666666663</v>
      </c>
      <c r="G8" s="2">
        <v>0.25646242774566474</v>
      </c>
      <c r="H8" s="2">
        <f t="shared" si="1"/>
        <v>-27.279084760208477</v>
      </c>
      <c r="J8" s="2">
        <v>0.66746666666666665</v>
      </c>
      <c r="K8" s="2">
        <v>0.63218497109826588</v>
      </c>
      <c r="L8" s="2">
        <f t="shared" si="2"/>
        <v>-5.2859112417699921</v>
      </c>
      <c r="N8" s="2">
        <v>0.37853333333333328</v>
      </c>
      <c r="O8" s="2">
        <v>0.31583815028901735</v>
      </c>
      <c r="P8" s="2">
        <f t="shared" si="3"/>
        <v>-16.562658430164479</v>
      </c>
      <c r="R8" s="2">
        <v>0.38773333333333337</v>
      </c>
      <c r="S8" s="2">
        <v>0.26515606936416181</v>
      </c>
      <c r="T8" s="2">
        <f t="shared" si="4"/>
        <v>-31.613806044318661</v>
      </c>
      <c r="V8" s="2">
        <v>0.76626666666666665</v>
      </c>
      <c r="W8" s="2">
        <v>0.5809942196531791</v>
      </c>
      <c r="X8" s="2">
        <f t="shared" si="5"/>
        <v>-24.178586264157936</v>
      </c>
      <c r="Z8">
        <v>0.69333333333333325</v>
      </c>
      <c r="AA8">
        <v>0.69156069364161854</v>
      </c>
      <c r="AB8" s="2">
        <f t="shared" si="6"/>
        <v>-0.25566918630500568</v>
      </c>
      <c r="AD8">
        <v>0.74039999999999995</v>
      </c>
      <c r="AE8">
        <v>0.52161849710982655</v>
      </c>
      <c r="AF8" s="2">
        <f t="shared" si="7"/>
        <v>-29.549095474091491</v>
      </c>
      <c r="AG8" s="2" t="s">
        <v>16</v>
      </c>
      <c r="AH8">
        <v>1.4337333333333333</v>
      </c>
      <c r="AI8">
        <v>1.2131791907514451</v>
      </c>
      <c r="AJ8" s="2">
        <f t="shared" si="8"/>
        <v>-15.383205332132071</v>
      </c>
    </row>
    <row r="9" spans="1:40" x14ac:dyDescent="0.25">
      <c r="A9" s="2" t="s">
        <v>112</v>
      </c>
      <c r="B9" s="2">
        <v>0.32430057803468204</v>
      </c>
      <c r="C9" s="2">
        <v>0.25333333333333335</v>
      </c>
      <c r="D9" s="2">
        <f t="shared" si="0"/>
        <v>-21.883169352155505</v>
      </c>
      <c r="F9" s="2">
        <v>0.27102890173410399</v>
      </c>
      <c r="G9" s="2">
        <v>0.28773333333333334</v>
      </c>
      <c r="H9" s="2">
        <f t="shared" si="1"/>
        <v>6.1633395893761271</v>
      </c>
      <c r="J9" s="2">
        <v>0.59532947976878625</v>
      </c>
      <c r="K9" s="2">
        <v>0.5410666666666667</v>
      </c>
      <c r="L9" s="2">
        <f t="shared" si="2"/>
        <v>-9.1147532494433374</v>
      </c>
      <c r="N9" s="2">
        <v>0.35010404624277458</v>
      </c>
      <c r="O9" s="2">
        <v>0.37466666666666665</v>
      </c>
      <c r="P9" s="2">
        <f t="shared" si="3"/>
        <v>7.0158059261215948</v>
      </c>
      <c r="R9" s="2">
        <v>0.23445086705202312</v>
      </c>
      <c r="S9" s="2">
        <v>0.25693333333333335</v>
      </c>
      <c r="T9" s="2">
        <f t="shared" si="4"/>
        <v>9.589414858645636</v>
      </c>
      <c r="V9" s="2">
        <v>0.5845549132947977</v>
      </c>
      <c r="W9" s="2">
        <v>0.63160000000000005</v>
      </c>
      <c r="X9" s="2">
        <f t="shared" si="5"/>
        <v>8.04801835297841</v>
      </c>
      <c r="Z9">
        <v>0.67440462427745662</v>
      </c>
      <c r="AA9">
        <v>0.628</v>
      </c>
      <c r="AB9" s="2">
        <f t="shared" si="6"/>
        <v>-6.880828304991768</v>
      </c>
      <c r="AD9">
        <v>0.5054797687861271</v>
      </c>
      <c r="AE9">
        <v>0.54466666666666663</v>
      </c>
      <c r="AF9" s="2">
        <f t="shared" si="7"/>
        <v>7.7524166742902523</v>
      </c>
      <c r="AG9" s="2" t="s">
        <v>112</v>
      </c>
      <c r="AH9">
        <v>1.1798843930635838</v>
      </c>
      <c r="AI9">
        <v>1.1726666666666667</v>
      </c>
      <c r="AJ9" s="2">
        <f t="shared" si="8"/>
        <v>-0.61173166111437216</v>
      </c>
      <c r="AL9" s="189"/>
      <c r="AM9" s="189" t="s">
        <v>447</v>
      </c>
      <c r="AN9" s="190">
        <f>(AI17-AH17)/AH17*100</f>
        <v>-4.7092958660654531</v>
      </c>
    </row>
    <row r="10" spans="1:40" x14ac:dyDescent="0.25">
      <c r="A10" s="2" t="s">
        <v>113</v>
      </c>
      <c r="B10" s="2">
        <v>0.4764393063583815</v>
      </c>
      <c r="C10" s="2">
        <v>0.33373333333333333</v>
      </c>
      <c r="D10" s="2">
        <f t="shared" si="0"/>
        <v>-29.952602801772947</v>
      </c>
      <c r="F10" s="2">
        <v>0.30413872832369943</v>
      </c>
      <c r="G10" s="2">
        <v>0.2845333333333333</v>
      </c>
      <c r="H10" s="2">
        <f t="shared" si="1"/>
        <v>-6.446201408950393</v>
      </c>
      <c r="J10" s="2">
        <v>0.78057803468208087</v>
      </c>
      <c r="K10" s="2">
        <v>0.61826666666666663</v>
      </c>
      <c r="L10" s="2">
        <f t="shared" si="2"/>
        <v>-20.793740126382303</v>
      </c>
      <c r="N10" s="2">
        <v>0.39662427745664736</v>
      </c>
      <c r="O10" s="2">
        <v>0.28133333333333332</v>
      </c>
      <c r="P10" s="2">
        <f t="shared" si="3"/>
        <v>-29.068050211806767</v>
      </c>
      <c r="R10" s="2">
        <v>0.30663583815028905</v>
      </c>
      <c r="S10" s="2">
        <v>0.29133333333333333</v>
      </c>
      <c r="T10" s="2">
        <f t="shared" si="4"/>
        <v>-4.9904489016236981</v>
      </c>
      <c r="V10" s="2">
        <v>0.70326011560693646</v>
      </c>
      <c r="W10" s="2">
        <v>0.57266666666666666</v>
      </c>
      <c r="X10" s="2">
        <f t="shared" si="5"/>
        <v>-18.569722076100305</v>
      </c>
      <c r="Z10">
        <v>0.87306358381502891</v>
      </c>
      <c r="AA10">
        <v>0.61506666666666665</v>
      </c>
      <c r="AB10" s="2">
        <f t="shared" si="6"/>
        <v>-29.550759180790966</v>
      </c>
      <c r="AD10">
        <v>0.61077456647398853</v>
      </c>
      <c r="AE10">
        <v>0.57586666666666664</v>
      </c>
      <c r="AF10" s="2">
        <f t="shared" si="7"/>
        <v>-5.7153492832626887</v>
      </c>
      <c r="AG10" s="2" t="s">
        <v>113</v>
      </c>
      <c r="AH10">
        <v>1.4838381502890172</v>
      </c>
      <c r="AI10">
        <v>1.1909333333333332</v>
      </c>
      <c r="AJ10" s="2">
        <f t="shared" si="8"/>
        <v>-19.739674229203029</v>
      </c>
    </row>
    <row r="11" spans="1:40" x14ac:dyDescent="0.25">
      <c r="A11" s="2" t="s">
        <v>114</v>
      </c>
      <c r="B11" s="2">
        <v>0.41100578034682089</v>
      </c>
      <c r="C11" s="2">
        <v>0.41933333333333322</v>
      </c>
      <c r="D11" s="2">
        <f t="shared" si="0"/>
        <v>2.026140114011354</v>
      </c>
      <c r="F11" s="2">
        <v>0.36841618497109829</v>
      </c>
      <c r="G11" s="2">
        <v>0.33733333333333337</v>
      </c>
      <c r="H11" s="2">
        <f t="shared" si="1"/>
        <v>-8.436885485962927</v>
      </c>
      <c r="J11" s="2">
        <v>0.77942196531791907</v>
      </c>
      <c r="K11" s="2">
        <v>0.7566666666666666</v>
      </c>
      <c r="L11" s="2">
        <f t="shared" si="2"/>
        <v>-2.9195095421734489</v>
      </c>
      <c r="N11" s="2">
        <v>0.46534104046242775</v>
      </c>
      <c r="O11" s="2">
        <v>0.47520000000000007</v>
      </c>
      <c r="P11" s="2">
        <f t="shared" si="3"/>
        <v>2.1186524893173151</v>
      </c>
      <c r="R11" s="2">
        <v>0.38233526011560692</v>
      </c>
      <c r="S11" s="2">
        <v>0.4453333333333333</v>
      </c>
      <c r="T11" s="2">
        <f t="shared" si="4"/>
        <v>16.477181099822605</v>
      </c>
      <c r="V11" s="2">
        <v>0.84767630057803489</v>
      </c>
      <c r="W11" s="2">
        <v>0.9205333333333332</v>
      </c>
      <c r="X11" s="2">
        <f t="shared" si="5"/>
        <v>8.5949120797191956</v>
      </c>
      <c r="Z11">
        <v>0.87634682080924864</v>
      </c>
      <c r="AA11">
        <v>0.89453333333333329</v>
      </c>
      <c r="AB11" s="2">
        <f t="shared" si="6"/>
        <v>2.0752642780503963</v>
      </c>
      <c r="AD11">
        <v>0.75075144508670522</v>
      </c>
      <c r="AE11">
        <v>0.78266666666666662</v>
      </c>
      <c r="AF11" s="2">
        <f t="shared" si="7"/>
        <v>4.2511035827943671</v>
      </c>
      <c r="AG11" s="2" t="s">
        <v>114</v>
      </c>
      <c r="AH11">
        <v>1.6270982658959539</v>
      </c>
      <c r="AI11">
        <v>1.6771999999999998</v>
      </c>
      <c r="AJ11" s="2">
        <f t="shared" si="8"/>
        <v>3.0792076394020165</v>
      </c>
    </row>
    <row r="12" spans="1:40" x14ac:dyDescent="0.25">
      <c r="A12" s="2" t="s">
        <v>115</v>
      </c>
      <c r="B12" s="2">
        <v>0.53951445086705196</v>
      </c>
      <c r="C12" s="2">
        <v>0.65426666666666677</v>
      </c>
      <c r="D12" s="2">
        <f t="shared" si="0"/>
        <v>21.269535156138431</v>
      </c>
      <c r="F12" s="2">
        <v>0.44369942196531797</v>
      </c>
      <c r="G12" s="2">
        <v>0.40293333333333337</v>
      </c>
      <c r="H12" s="2">
        <f t="shared" si="1"/>
        <v>-9.1877714087198239</v>
      </c>
      <c r="J12" s="2">
        <v>0.98321387283236983</v>
      </c>
      <c r="K12" s="2">
        <v>1.0572000000000001</v>
      </c>
      <c r="L12" s="2">
        <f t="shared" si="2"/>
        <v>7.524927099990621</v>
      </c>
      <c r="N12" s="2">
        <v>0.51824277456647405</v>
      </c>
      <c r="O12" s="2">
        <v>0.62053333333333338</v>
      </c>
      <c r="P12" s="2">
        <f t="shared" si="3"/>
        <v>19.737961393176878</v>
      </c>
      <c r="R12" s="2">
        <v>0.4032832369942197</v>
      </c>
      <c r="S12" s="2">
        <v>0.43066666666666664</v>
      </c>
      <c r="T12" s="2">
        <f t="shared" si="4"/>
        <v>6.7901234567901065</v>
      </c>
      <c r="V12" s="2">
        <v>0.92152601156069358</v>
      </c>
      <c r="W12" s="2">
        <v>1.0512000000000001</v>
      </c>
      <c r="X12" s="2">
        <f t="shared" si="5"/>
        <v>14.071657968687296</v>
      </c>
      <c r="Z12">
        <v>1.0577572254335261</v>
      </c>
      <c r="AA12">
        <v>1.2748000000000002</v>
      </c>
      <c r="AB12" s="2">
        <f t="shared" si="6"/>
        <v>20.519148378071176</v>
      </c>
      <c r="AD12">
        <v>0.84698265895953773</v>
      </c>
      <c r="AE12">
        <v>0.83360000000000001</v>
      </c>
      <c r="AF12" s="2">
        <f t="shared" si="7"/>
        <v>-1.5800393098930068</v>
      </c>
      <c r="AG12" s="2" t="s">
        <v>115</v>
      </c>
      <c r="AH12">
        <v>1.9047398843930634</v>
      </c>
      <c r="AI12">
        <v>2.1084000000000005</v>
      </c>
      <c r="AJ12" s="2">
        <f t="shared" si="8"/>
        <v>10.692279679533904</v>
      </c>
    </row>
    <row r="13" spans="1:40" x14ac:dyDescent="0.25">
      <c r="A13" s="2" t="s">
        <v>117</v>
      </c>
      <c r="B13" s="2">
        <v>0.49151445086705203</v>
      </c>
      <c r="C13" s="2">
        <v>0.35706666666666664</v>
      </c>
      <c r="D13" s="2">
        <f t="shared" si="0"/>
        <v>-27.353780537523136</v>
      </c>
      <c r="F13" s="2">
        <v>0.41308670520231211</v>
      </c>
      <c r="G13" s="2">
        <v>0.37346666666666672</v>
      </c>
      <c r="H13" s="2">
        <f t="shared" si="1"/>
        <v>-9.5912160901525976</v>
      </c>
      <c r="J13" s="2">
        <v>0.90460115606936431</v>
      </c>
      <c r="K13" s="2">
        <v>0.73053333333333337</v>
      </c>
      <c r="L13" s="2">
        <f t="shared" si="2"/>
        <v>-19.242493950857114</v>
      </c>
      <c r="N13" s="2">
        <v>0.42649710982658962</v>
      </c>
      <c r="O13" s="2">
        <v>0.42426666666666668</v>
      </c>
      <c r="P13" s="2">
        <f t="shared" si="3"/>
        <v>-0.52296794246268519</v>
      </c>
      <c r="R13" s="2">
        <v>0.35944508670520231</v>
      </c>
      <c r="S13" s="2">
        <v>0.38159999999999999</v>
      </c>
      <c r="T13" s="2">
        <f t="shared" si="4"/>
        <v>6.1636433809340012</v>
      </c>
      <c r="V13" s="2">
        <v>0.78594219653179187</v>
      </c>
      <c r="W13" s="2">
        <v>0.80586666666666673</v>
      </c>
      <c r="X13" s="2">
        <f t="shared" si="5"/>
        <v>2.5351062995214693</v>
      </c>
      <c r="Z13">
        <v>0.91801156069364165</v>
      </c>
      <c r="AA13">
        <v>0.78133333333333332</v>
      </c>
      <c r="AB13" s="2">
        <f t="shared" si="6"/>
        <v>-14.888508294714223</v>
      </c>
      <c r="AD13">
        <v>0.77253179190751442</v>
      </c>
      <c r="AE13">
        <v>0.75506666666666677</v>
      </c>
      <c r="AF13" s="2">
        <f t="shared" si="7"/>
        <v>-2.2607645955544737</v>
      </c>
      <c r="AG13" s="2" t="s">
        <v>117</v>
      </c>
      <c r="AH13">
        <v>1.6905433526011562</v>
      </c>
      <c r="AI13">
        <v>1.5364</v>
      </c>
      <c r="AJ13" s="2">
        <f t="shared" si="8"/>
        <v>-9.1179769133978947</v>
      </c>
    </row>
    <row r="14" spans="1:40" x14ac:dyDescent="0.25">
      <c r="A14" s="2" t="s">
        <v>121</v>
      </c>
      <c r="B14" s="2">
        <v>0.48383815028901739</v>
      </c>
      <c r="C14" s="2">
        <v>0.41666666666666669</v>
      </c>
      <c r="D14" s="2">
        <f t="shared" si="0"/>
        <v>-13.883048201599291</v>
      </c>
      <c r="F14" s="2">
        <v>0.451514450867052</v>
      </c>
      <c r="G14" s="2">
        <v>0.3969333333333333</v>
      </c>
      <c r="H14" s="2">
        <f t="shared" si="1"/>
        <v>-12.088454185443126</v>
      </c>
      <c r="J14" s="2">
        <v>0.93535260115606944</v>
      </c>
      <c r="K14" s="2">
        <v>0.81359999999999988</v>
      </c>
      <c r="L14" s="2">
        <f t="shared" si="2"/>
        <v>-13.016759776536333</v>
      </c>
      <c r="N14" s="2">
        <v>0.5516300578034683</v>
      </c>
      <c r="O14" s="2">
        <v>0.39559999999999995</v>
      </c>
      <c r="P14" s="2">
        <f t="shared" si="3"/>
        <v>-28.285271187861532</v>
      </c>
      <c r="R14" s="2">
        <v>0.38353757225433527</v>
      </c>
      <c r="S14" s="2">
        <v>0.39786666666666665</v>
      </c>
      <c r="T14" s="2">
        <f t="shared" si="4"/>
        <v>3.7360340808616597</v>
      </c>
      <c r="V14" s="2">
        <v>0.93516763005780368</v>
      </c>
      <c r="W14" s="2">
        <v>0.79346666666666665</v>
      </c>
      <c r="X14" s="2">
        <f t="shared" si="5"/>
        <v>-15.15246666337011</v>
      </c>
      <c r="Z14">
        <v>1.0354682080924857</v>
      </c>
      <c r="AA14">
        <v>0.81226666666666669</v>
      </c>
      <c r="AB14" s="2">
        <f t="shared" si="6"/>
        <v>-21.55561510063119</v>
      </c>
      <c r="AD14">
        <v>0.83505202312138727</v>
      </c>
      <c r="AE14">
        <v>0.79479999999999995</v>
      </c>
      <c r="AF14" s="2">
        <f t="shared" si="7"/>
        <v>-4.8203012515228743</v>
      </c>
      <c r="AG14" s="2" t="s">
        <v>121</v>
      </c>
      <c r="AH14">
        <v>1.8705202312138731</v>
      </c>
      <c r="AI14">
        <v>1.6070666666666664</v>
      </c>
      <c r="AJ14" s="2">
        <f t="shared" si="8"/>
        <v>-14.084507622579343</v>
      </c>
    </row>
    <row r="15" spans="1:40" x14ac:dyDescent="0.25">
      <c r="A15" s="2" t="s">
        <v>122</v>
      </c>
      <c r="B15" s="2">
        <v>0.60453179190751438</v>
      </c>
      <c r="C15" s="2">
        <v>0.45333333333333331</v>
      </c>
      <c r="D15" s="2">
        <f t="shared" si="0"/>
        <v>-25.01083658430862</v>
      </c>
      <c r="F15" s="2">
        <v>0.45586127167630053</v>
      </c>
      <c r="G15" s="2">
        <v>0.49413333333333337</v>
      </c>
      <c r="H15" s="2">
        <f t="shared" si="1"/>
        <v>8.3955501453980048</v>
      </c>
      <c r="J15" s="2">
        <v>1.060393063583815</v>
      </c>
      <c r="K15" s="2">
        <v>0.94746666666666679</v>
      </c>
      <c r="L15" s="2">
        <f t="shared" si="2"/>
        <v>-10.649484685941871</v>
      </c>
      <c r="N15" s="2">
        <v>0.62788439306358368</v>
      </c>
      <c r="O15" s="2">
        <v>0.50559999999999994</v>
      </c>
      <c r="P15" s="2">
        <f t="shared" si="3"/>
        <v>-19.475622330240085</v>
      </c>
      <c r="R15" s="2">
        <v>0.53636994219653178</v>
      </c>
      <c r="S15" s="2">
        <v>0.47959999999999992</v>
      </c>
      <c r="T15" s="2">
        <f t="shared" si="4"/>
        <v>-10.584102077765339</v>
      </c>
      <c r="V15" s="2">
        <v>1.1642543352601156</v>
      </c>
      <c r="W15" s="2">
        <v>0.98520000000000008</v>
      </c>
      <c r="X15" s="2">
        <f t="shared" si="5"/>
        <v>-15.379314453668021</v>
      </c>
      <c r="Z15">
        <v>1.2324161849710982</v>
      </c>
      <c r="AA15">
        <v>0.95893333333333319</v>
      </c>
      <c r="AB15" s="2">
        <f t="shared" si="6"/>
        <v>-22.19078708741386</v>
      </c>
      <c r="AD15">
        <v>0.99223121387283231</v>
      </c>
      <c r="AE15">
        <v>0.97373333333333334</v>
      </c>
      <c r="AF15" s="2">
        <f t="shared" si="7"/>
        <v>-1.8642711780149379</v>
      </c>
      <c r="AG15" s="2" t="s">
        <v>122</v>
      </c>
      <c r="AH15">
        <v>2.2246473988439304</v>
      </c>
      <c r="AI15">
        <v>1.932666666666667</v>
      </c>
      <c r="AJ15" s="2">
        <f t="shared" si="8"/>
        <v>-13.124809456500627</v>
      </c>
    </row>
    <row r="16" spans="1:40" x14ac:dyDescent="0.25">
      <c r="A16" s="61" t="s">
        <v>123</v>
      </c>
      <c r="B16" s="89" t="s">
        <v>184</v>
      </c>
      <c r="C16" s="102"/>
      <c r="D16" s="103"/>
      <c r="F16" s="89" t="s">
        <v>184</v>
      </c>
      <c r="G16" s="102"/>
      <c r="H16" s="103"/>
      <c r="J16" s="89" t="s">
        <v>184</v>
      </c>
      <c r="K16" s="102"/>
      <c r="L16" s="103"/>
      <c r="N16" s="89" t="s">
        <v>184</v>
      </c>
      <c r="O16" s="102"/>
      <c r="P16" s="103"/>
      <c r="R16" s="89" t="s">
        <v>184</v>
      </c>
      <c r="S16" s="102"/>
      <c r="T16" s="103"/>
      <c r="V16" s="89" t="s">
        <v>184</v>
      </c>
      <c r="W16" s="102"/>
      <c r="X16" s="103"/>
      <c r="Z16" s="89" t="s">
        <v>184</v>
      </c>
      <c r="AA16" s="102"/>
      <c r="AB16" s="103"/>
      <c r="AC16" s="103"/>
      <c r="AD16" s="89" t="s">
        <v>184</v>
      </c>
      <c r="AE16" s="102"/>
      <c r="AF16" s="103"/>
      <c r="AH16" s="89" t="s">
        <v>184</v>
      </c>
      <c r="AI16" s="102"/>
      <c r="AJ16" s="103"/>
    </row>
    <row r="17" spans="1:41" x14ac:dyDescent="0.25">
      <c r="A17" s="1" t="s">
        <v>17</v>
      </c>
      <c r="B17">
        <f>AVERAGE(B2:B16)</f>
        <v>0.41959573143619378</v>
      </c>
      <c r="C17" s="2">
        <f t="shared" ref="C17:AF17" si="9">AVERAGE(C2:C16)</f>
        <v>0.39275174350197439</v>
      </c>
      <c r="D17" s="50">
        <f t="shared" si="9"/>
        <v>-4.8575236106729154</v>
      </c>
      <c r="F17" s="2">
        <f t="shared" si="9"/>
        <v>0.37350864087742697</v>
      </c>
      <c r="G17" s="2">
        <f t="shared" si="9"/>
        <v>0.34587357625528586</v>
      </c>
      <c r="H17" s="50">
        <f t="shared" si="9"/>
        <v>-6.337442592189106</v>
      </c>
      <c r="J17" s="2">
        <f t="shared" si="9"/>
        <v>0.79310437231362085</v>
      </c>
      <c r="K17" s="2">
        <f t="shared" si="9"/>
        <v>0.7386253197572602</v>
      </c>
      <c r="L17" s="50">
        <f t="shared" si="9"/>
        <v>-6.1810216428953737</v>
      </c>
      <c r="M17" s="2"/>
      <c r="N17" s="2">
        <f t="shared" si="9"/>
        <v>0.43346079739143317</v>
      </c>
      <c r="O17" s="2">
        <f t="shared" si="9"/>
        <v>0.42551115803175105</v>
      </c>
      <c r="P17" s="50">
        <f t="shared" si="9"/>
        <v>-0.84727249850493369</v>
      </c>
      <c r="Q17" s="2"/>
      <c r="R17" s="2">
        <f t="shared" si="9"/>
        <v>0.36710188231806734</v>
      </c>
      <c r="S17" s="2">
        <f t="shared" si="9"/>
        <v>0.35448007763433859</v>
      </c>
      <c r="T17" s="50">
        <f t="shared" si="9"/>
        <v>-2.3702009526446663</v>
      </c>
      <c r="U17" s="2"/>
      <c r="V17" s="2">
        <f t="shared" si="9"/>
        <v>0.80056267970950057</v>
      </c>
      <c r="W17" s="2">
        <f t="shared" si="9"/>
        <v>0.77999123566608952</v>
      </c>
      <c r="X17" s="50">
        <f t="shared" si="9"/>
        <v>-2.0897239613908427</v>
      </c>
      <c r="Y17" s="2"/>
      <c r="Z17" s="2">
        <f t="shared" si="9"/>
        <v>0.85305652882762695</v>
      </c>
      <c r="AA17" s="2">
        <f t="shared" si="9"/>
        <v>0.81826290153372527</v>
      </c>
      <c r="AB17" s="2">
        <f t="shared" si="9"/>
        <v>-3.1041963368828793</v>
      </c>
      <c r="AD17" s="2">
        <f t="shared" si="9"/>
        <v>0.74061052319549436</v>
      </c>
      <c r="AE17" s="2">
        <f t="shared" si="9"/>
        <v>0.70035365388962434</v>
      </c>
      <c r="AF17" s="2">
        <f t="shared" si="9"/>
        <v>-4.5381869548186344</v>
      </c>
      <c r="AH17" s="2">
        <f>AVERAGE(AH1:AH16)</f>
        <v>1.5936670520231215</v>
      </c>
      <c r="AI17" s="2">
        <f>AVERAGE(AI1:AI16)</f>
        <v>1.5186165554233495</v>
      </c>
      <c r="AJ17" s="50">
        <f>AVERAGE(AJ2:AJ16)</f>
        <v>-4.2867202225034937</v>
      </c>
    </row>
    <row r="18" spans="1:41" x14ac:dyDescent="0.25">
      <c r="A18" s="1" t="s">
        <v>153</v>
      </c>
      <c r="B18">
        <f>STDEV(B2:B16)</f>
        <v>9.5217474517046055E-2</v>
      </c>
      <c r="C18" s="2">
        <f t="shared" ref="C18:AF18" si="10">STDEV(C2:C16)</f>
        <v>0.10368274279694058</v>
      </c>
      <c r="D18" s="2">
        <f t="shared" si="10"/>
        <v>20.637784892882411</v>
      </c>
      <c r="F18" s="2">
        <f t="shared" si="10"/>
        <v>7.2057109741239009E-2</v>
      </c>
      <c r="G18" s="2">
        <f t="shared" si="10"/>
        <v>7.1520489085056385E-2</v>
      </c>
      <c r="H18" s="2">
        <f t="shared" si="10"/>
        <v>15.997571135490988</v>
      </c>
      <c r="J18" s="2">
        <f t="shared" si="10"/>
        <v>0.15108601705847283</v>
      </c>
      <c r="K18" s="2">
        <f t="shared" si="10"/>
        <v>0.15892471898550756</v>
      </c>
      <c r="L18" s="2">
        <f t="shared" si="10"/>
        <v>14.678602833868927</v>
      </c>
      <c r="M18" s="2"/>
      <c r="N18" s="2">
        <f t="shared" si="10"/>
        <v>8.9464989700735437E-2</v>
      </c>
      <c r="O18" s="2">
        <f t="shared" si="10"/>
        <v>9.7340578475938772E-2</v>
      </c>
      <c r="P18" s="2">
        <f t="shared" si="10"/>
        <v>17.54203010291782</v>
      </c>
      <c r="Q18" s="2"/>
      <c r="R18" s="2">
        <f t="shared" si="10"/>
        <v>8.0937387039863404E-2</v>
      </c>
      <c r="S18" s="2">
        <f t="shared" si="10"/>
        <v>8.5653238619541563E-2</v>
      </c>
      <c r="T18" s="2">
        <f t="shared" si="10"/>
        <v>18.063615001449445</v>
      </c>
      <c r="U18" s="2"/>
      <c r="V18" s="2">
        <f t="shared" si="10"/>
        <v>0.15193988393809021</v>
      </c>
      <c r="W18" s="2">
        <f t="shared" si="10"/>
        <v>0.17060393412719929</v>
      </c>
      <c r="X18" s="2">
        <f t="shared" si="10"/>
        <v>15.052814133076653</v>
      </c>
      <c r="Y18" s="2"/>
      <c r="Z18" s="2">
        <f t="shared" si="10"/>
        <v>0.17719782855687954</v>
      </c>
      <c r="AA18" s="2">
        <f t="shared" si="10"/>
        <v>0.19229102190061059</v>
      </c>
      <c r="AB18" s="2">
        <f t="shared" si="10"/>
        <v>16.790972696430916</v>
      </c>
      <c r="AD18" s="2">
        <f t="shared" si="10"/>
        <v>0.14775893179067254</v>
      </c>
      <c r="AE18" s="2">
        <f t="shared" si="10"/>
        <v>0.15369186288687409</v>
      </c>
      <c r="AF18" s="2">
        <f t="shared" si="10"/>
        <v>16.005878598712695</v>
      </c>
      <c r="AH18" s="2">
        <f>STDEV(AH1:AH16)</f>
        <v>0.2938791197681882</v>
      </c>
      <c r="AI18" s="2">
        <f>STDEV(AI1:AI16)</f>
        <v>0.32328375506182844</v>
      </c>
      <c r="AJ18" s="2">
        <f>STDEV(AJ2:AJ16)</f>
        <v>13.831916796314298</v>
      </c>
    </row>
    <row r="20" spans="1:41" x14ac:dyDescent="0.25">
      <c r="C20" s="50" t="s">
        <v>278</v>
      </c>
      <c r="G20" s="50" t="s">
        <v>278</v>
      </c>
      <c r="K20" s="50" t="s">
        <v>278</v>
      </c>
      <c r="O20" s="50" t="s">
        <v>278</v>
      </c>
      <c r="S20" s="50" t="s">
        <v>278</v>
      </c>
      <c r="W20" s="50" t="s">
        <v>278</v>
      </c>
      <c r="AA20" s="50" t="s">
        <v>278</v>
      </c>
      <c r="AE20" s="50" t="s">
        <v>278</v>
      </c>
      <c r="AI20" s="50" t="s">
        <v>278</v>
      </c>
    </row>
    <row r="21" spans="1:41" x14ac:dyDescent="0.25">
      <c r="A21" s="140"/>
      <c r="B21" s="140"/>
      <c r="C21" s="137" t="s">
        <v>415</v>
      </c>
      <c r="D21" s="140"/>
      <c r="E21" s="140"/>
      <c r="F21" s="140"/>
      <c r="G21" s="137" t="s">
        <v>416</v>
      </c>
      <c r="H21" s="140"/>
      <c r="I21" s="140"/>
      <c r="J21" s="140"/>
      <c r="K21" s="137" t="s">
        <v>417</v>
      </c>
      <c r="L21" s="140"/>
      <c r="M21" s="140"/>
      <c r="N21" s="140"/>
      <c r="O21" s="137" t="s">
        <v>418</v>
      </c>
      <c r="P21" s="140"/>
      <c r="Q21" s="140"/>
      <c r="R21" s="140"/>
      <c r="S21" s="137" t="s">
        <v>419</v>
      </c>
      <c r="T21" s="140"/>
      <c r="U21" s="140"/>
      <c r="V21" s="140"/>
      <c r="W21" s="137" t="s">
        <v>420</v>
      </c>
      <c r="X21" s="140"/>
      <c r="Y21" s="140"/>
      <c r="Z21" s="140"/>
      <c r="AA21" s="137" t="s">
        <v>421</v>
      </c>
      <c r="AB21" s="140"/>
      <c r="AC21" s="140"/>
      <c r="AD21" s="140"/>
      <c r="AE21" s="137" t="s">
        <v>422</v>
      </c>
      <c r="AF21" s="140"/>
      <c r="AG21" s="140"/>
      <c r="AH21" s="140"/>
      <c r="AI21" s="137" t="s">
        <v>414</v>
      </c>
      <c r="AJ21" s="140"/>
      <c r="AK21" s="140"/>
    </row>
    <row r="23" spans="1:41" s="2" customFormat="1" x14ac:dyDescent="0.25">
      <c r="A23" s="2" t="s">
        <v>281</v>
      </c>
      <c r="B23" s="2">
        <v>2.6844E-2</v>
      </c>
      <c r="C23" s="2">
        <v>9.1355000000000006E-2</v>
      </c>
      <c r="F23" s="138">
        <v>2.7635064769230701E-2</v>
      </c>
      <c r="G23" s="2">
        <v>6.1332999999999999E-2</v>
      </c>
      <c r="J23" s="138">
        <v>5.4479052461538398E-2</v>
      </c>
      <c r="K23" s="2">
        <v>0.116998</v>
      </c>
      <c r="N23" s="138">
        <v>7.9496393076923192E-3</v>
      </c>
      <c r="O23" s="2">
        <v>8.2914000000000002E-2</v>
      </c>
      <c r="R23" s="2">
        <v>1.2622E-2</v>
      </c>
      <c r="S23" s="139">
        <v>6.8907519507506607E-2</v>
      </c>
      <c r="V23" s="2">
        <v>2.0570999999999999E-2</v>
      </c>
      <c r="W23" s="2">
        <v>0.124623</v>
      </c>
      <c r="Z23" s="2">
        <v>3.4793999999999999E-2</v>
      </c>
      <c r="AA23" s="2">
        <v>0.15858900000000001</v>
      </c>
      <c r="AD23" s="2">
        <v>4.0257000000000001E-2</v>
      </c>
      <c r="AE23" s="2">
        <v>0.120153</v>
      </c>
      <c r="AH23" s="2">
        <v>7.5050000000000006E-2</v>
      </c>
      <c r="AI23" s="2">
        <v>0.22412299999999999</v>
      </c>
      <c r="AO23" s="136"/>
    </row>
    <row r="24" spans="1:41" s="2" customFormat="1" x14ac:dyDescent="0.25">
      <c r="B24" s="50" t="s">
        <v>282</v>
      </c>
      <c r="C24" s="56">
        <f>B23/C23</f>
        <v>0.29384270154890263</v>
      </c>
      <c r="F24" s="50" t="s">
        <v>282</v>
      </c>
      <c r="G24" s="56">
        <f>F23/G23</f>
        <v>0.45057415696657105</v>
      </c>
      <c r="J24" s="50" t="s">
        <v>282</v>
      </c>
      <c r="K24" s="56">
        <f>J23/K23</f>
        <v>0.4656408866949725</v>
      </c>
      <c r="N24" s="50" t="s">
        <v>282</v>
      </c>
      <c r="O24" s="56">
        <f>N23/O23</f>
        <v>9.5878130444705584E-2</v>
      </c>
      <c r="R24" s="50" t="s">
        <v>282</v>
      </c>
      <c r="S24" s="56">
        <f>R23/S23</f>
        <v>0.18317304250989605</v>
      </c>
      <c r="V24" s="50" t="s">
        <v>282</v>
      </c>
      <c r="W24" s="56">
        <f>V23/W23</f>
        <v>0.16506583856912446</v>
      </c>
      <c r="Z24" s="50" t="s">
        <v>282</v>
      </c>
      <c r="AA24" s="56">
        <f>Z23/AA23</f>
        <v>0.21939731002780771</v>
      </c>
      <c r="AD24" s="50" t="s">
        <v>282</v>
      </c>
      <c r="AE24" s="56">
        <f>AD23/AE23</f>
        <v>0.33504781403710271</v>
      </c>
      <c r="AH24" s="50" t="s">
        <v>282</v>
      </c>
      <c r="AI24" s="56">
        <f>AH23/AI23</f>
        <v>0.3348607684173423</v>
      </c>
      <c r="AO24" s="136"/>
    </row>
    <row r="25" spans="1:41" s="2" customFormat="1" x14ac:dyDescent="0.25">
      <c r="A25" s="194" t="s">
        <v>448</v>
      </c>
      <c r="B25" s="194"/>
      <c r="C25" s="194"/>
      <c r="D25" s="194">
        <f>(C17-B17)/B17*100</f>
        <v>-6.3975836556624834</v>
      </c>
      <c r="E25" s="194"/>
      <c r="F25" s="194"/>
      <c r="G25" s="194"/>
      <c r="H25" s="194">
        <f>(G17-F17)/F17*100</f>
        <v>-7.3987751815385732</v>
      </c>
      <c r="I25" s="194"/>
      <c r="J25" s="194"/>
      <c r="K25" s="194"/>
      <c r="L25" s="194">
        <f>(K17-J17)/J17*100</f>
        <v>-6.8690899279039348</v>
      </c>
      <c r="M25" s="194"/>
      <c r="N25" s="194"/>
      <c r="O25" s="194"/>
      <c r="P25" s="194">
        <f>(O17-N17)/N17*100</f>
        <v>-1.8339926949618168</v>
      </c>
      <c r="Q25" s="194"/>
      <c r="R25" s="194"/>
      <c r="S25" s="194"/>
      <c r="T25" s="194">
        <f>(S17-R17)/R17*100</f>
        <v>-3.4382293558475601</v>
      </c>
      <c r="U25" s="194"/>
      <c r="V25" s="194"/>
      <c r="W25" s="194"/>
      <c r="X25" s="194">
        <f>(W17-V17)/V17*100</f>
        <v>-2.5696231619085448</v>
      </c>
      <c r="Y25" s="194"/>
      <c r="Z25" s="194"/>
      <c r="AA25" s="194"/>
      <c r="AB25" s="194">
        <f>(AA17-Z17)/Z17*100</f>
        <v>-4.078701248757719</v>
      </c>
      <c r="AC25" s="194"/>
      <c r="AD25" s="194"/>
      <c r="AE25" s="194"/>
      <c r="AF25" s="194">
        <f>(AE17-AD17)/AD17*100</f>
        <v>-5.4356329062372328</v>
      </c>
      <c r="AG25" s="194"/>
      <c r="AH25" s="194"/>
      <c r="AI25" s="194"/>
      <c r="AJ25" s="194">
        <f>(AI17-AH17)/AH17*100</f>
        <v>-4.7092958660654531</v>
      </c>
      <c r="AK25" s="194"/>
      <c r="AL25" s="194"/>
      <c r="AM25" s="194"/>
      <c r="AN25" s="194"/>
      <c r="AO25" s="136"/>
    </row>
    <row r="27" spans="1:41" x14ac:dyDescent="0.25">
      <c r="A27" t="s">
        <v>279</v>
      </c>
    </row>
    <row r="28" spans="1:41" x14ac:dyDescent="0.25">
      <c r="A28" t="s">
        <v>280</v>
      </c>
    </row>
    <row r="29" spans="1:41" x14ac:dyDescent="0.25">
      <c r="A29" s="51" t="s">
        <v>291</v>
      </c>
      <c r="B29" s="4"/>
      <c r="C29" s="4"/>
      <c r="D29" s="4"/>
      <c r="E29" s="4"/>
      <c r="F29" s="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29"/>
  <sheetViews>
    <sheetView workbookViewId="0">
      <pane xSplit="1" topLeftCell="B1" activePane="topRight" state="frozen"/>
      <selection pane="topRight" activeCell="Y34" sqref="Y34"/>
    </sheetView>
  </sheetViews>
  <sheetFormatPr defaultRowHeight="15" x14ac:dyDescent="0.25"/>
  <cols>
    <col min="2" max="2" width="30.28515625" bestFit="1" customWidth="1"/>
    <col min="3" max="3" width="8.5703125" customWidth="1"/>
    <col min="6" max="6" width="30.42578125" customWidth="1"/>
    <col min="10" max="10" width="17.5703125" customWidth="1"/>
    <col min="14" max="14" width="24.42578125" customWidth="1"/>
    <col min="18" max="18" width="9.7109375" bestFit="1" customWidth="1"/>
    <col min="30" max="30" width="9.7109375" bestFit="1" customWidth="1"/>
    <col min="35" max="35" width="9.140625" style="136"/>
  </cols>
  <sheetData>
    <row r="1" spans="1:32" x14ac:dyDescent="0.25">
      <c r="A1" t="s">
        <v>296</v>
      </c>
      <c r="B1" t="s">
        <v>298</v>
      </c>
      <c r="C1" t="s">
        <v>299</v>
      </c>
      <c r="D1" t="s">
        <v>23</v>
      </c>
      <c r="F1" t="s">
        <v>300</v>
      </c>
      <c r="G1" t="s">
        <v>301</v>
      </c>
      <c r="H1" t="s">
        <v>23</v>
      </c>
      <c r="J1" t="s">
        <v>302</v>
      </c>
      <c r="K1" t="s">
        <v>303</v>
      </c>
      <c r="L1" t="s">
        <v>23</v>
      </c>
      <c r="N1" t="s">
        <v>304</v>
      </c>
      <c r="O1" t="s">
        <v>305</v>
      </c>
      <c r="P1" t="s">
        <v>23</v>
      </c>
      <c r="R1" s="2" t="s">
        <v>306</v>
      </c>
      <c r="S1" s="2" t="s">
        <v>307</v>
      </c>
      <c r="T1" s="2" t="s">
        <v>23</v>
      </c>
      <c r="V1" s="2" t="s">
        <v>308</v>
      </c>
      <c r="W1" s="2" t="s">
        <v>309</v>
      </c>
      <c r="X1" s="2" t="s">
        <v>23</v>
      </c>
      <c r="Z1" s="2" t="s">
        <v>310</v>
      </c>
      <c r="AA1" s="2" t="s">
        <v>311</v>
      </c>
      <c r="AB1" s="2" t="s">
        <v>23</v>
      </c>
      <c r="AD1" s="2" t="s">
        <v>312</v>
      </c>
      <c r="AE1" s="2" t="s">
        <v>313</v>
      </c>
      <c r="AF1" s="2" t="s">
        <v>23</v>
      </c>
    </row>
    <row r="2" spans="1:32" x14ac:dyDescent="0.25">
      <c r="A2" s="2" t="s">
        <v>11</v>
      </c>
      <c r="B2" s="15">
        <v>2.8658555348984745E-3</v>
      </c>
      <c r="C2" s="15">
        <v>5.6417402182317054E-3</v>
      </c>
      <c r="D2">
        <f>(C2-B2)/B2*100</f>
        <v>96.860593617869469</v>
      </c>
      <c r="F2" s="15">
        <v>0.17890000000004389</v>
      </c>
      <c r="G2" s="15">
        <v>0.17024000000003137</v>
      </c>
      <c r="H2">
        <f>(G2-F2)/F2*100</f>
        <v>-4.8406931246564531</v>
      </c>
      <c r="J2" s="15">
        <v>8.9450000000021943E-3</v>
      </c>
      <c r="K2" s="15">
        <v>8.5120000000015687E-3</v>
      </c>
      <c r="L2">
        <f>(K2-J2)/J2*100</f>
        <v>-4.8406931246564495</v>
      </c>
      <c r="N2" s="15">
        <v>1.5930000000000003E-2</v>
      </c>
      <c r="O2" s="15">
        <v>2.6283333333333336E-2</v>
      </c>
      <c r="P2">
        <f>(O2-N2)/N2*100</f>
        <v>64.992676292111312</v>
      </c>
      <c r="R2" s="15">
        <v>2.5292129377940714E-3</v>
      </c>
      <c r="S2" s="15">
        <v>3.4991401175510522E-3</v>
      </c>
      <c r="T2" s="15">
        <f>(S2-R2)/R2*100</f>
        <v>38.348972728367094</v>
      </c>
      <c r="V2" s="15">
        <v>0.175619999999999</v>
      </c>
      <c r="W2" s="15">
        <v>0.17771333333333472</v>
      </c>
      <c r="X2">
        <f>(W2-V2)/V2*100</f>
        <v>1.1919675056005778</v>
      </c>
      <c r="Z2" s="15">
        <v>8.7809999999999503E-3</v>
      </c>
      <c r="AA2" s="15">
        <v>8.8856666666667361E-3</v>
      </c>
      <c r="AB2">
        <f>(AA2-Z2)/Z2*100</f>
        <v>1.1919675056005739</v>
      </c>
      <c r="AD2" s="15">
        <v>1.5399999999999933E-2</v>
      </c>
      <c r="AE2" s="15">
        <v>1.8239999999999961E-2</v>
      </c>
      <c r="AF2">
        <f>(AE2-AD2)/AD2*100</f>
        <v>18.441558441558705</v>
      </c>
    </row>
    <row r="3" spans="1:32" x14ac:dyDescent="0.25">
      <c r="A3" s="2" t="s">
        <v>10</v>
      </c>
      <c r="B3" s="17">
        <v>4.3600708153752063E-3</v>
      </c>
      <c r="C3" s="17">
        <v>3.5135748357339354E-3</v>
      </c>
      <c r="D3" s="2">
        <f t="shared" ref="D3:D15" si="0">(C3-B3)/B3*100</f>
        <v>-19.414730069434107</v>
      </c>
      <c r="F3" s="17">
        <v>0.36604666666673857</v>
      </c>
      <c r="G3" s="17">
        <v>0.3142433333334913</v>
      </c>
      <c r="H3" s="2">
        <f t="shared" ref="H3:H15" si="1">(G3-F3)/F3*100</f>
        <v>-14.15211175257356</v>
      </c>
      <c r="J3" s="17">
        <v>1.8302333333336931E-2</v>
      </c>
      <c r="K3" s="17">
        <v>1.5712166666674566E-2</v>
      </c>
      <c r="L3" s="2">
        <f t="shared" ref="L3:L15" si="2">(K3-J3)/J3*100</f>
        <v>-14.152111752573568</v>
      </c>
      <c r="N3" s="17">
        <v>2.3470000000000001E-2</v>
      </c>
      <c r="O3" s="17">
        <v>2.2376666666666666E-2</v>
      </c>
      <c r="P3" s="2">
        <f t="shared" ref="P3:P15" si="3">(O3-N3)/N3*100</f>
        <v>-4.6584292003976779</v>
      </c>
      <c r="R3" s="15">
        <v>4.432517482058666E-3</v>
      </c>
      <c r="S3" s="15">
        <v>4.6361078982050368E-3</v>
      </c>
      <c r="T3" s="15">
        <f t="shared" ref="T3:T15" si="4">(S3-R3)/R3*100</f>
        <v>4.5931102803415014</v>
      </c>
      <c r="V3" s="15">
        <v>0.32531333333333223</v>
      </c>
      <c r="W3" s="15">
        <v>0.2988833333333345</v>
      </c>
      <c r="X3" s="2">
        <f t="shared" ref="X3:X15" si="5">(W3-V3)/V3*100</f>
        <v>-8.1244748652574401</v>
      </c>
      <c r="Z3" s="15">
        <v>1.6265666666666612E-2</v>
      </c>
      <c r="AA3" s="15">
        <v>1.4944166666666725E-2</v>
      </c>
      <c r="AB3" s="2">
        <f t="shared" ref="AB3:AB15" si="6">(AA3-Z3)/Z3*100</f>
        <v>-8.1244748652574437</v>
      </c>
      <c r="AD3" s="15">
        <v>2.5776666666666708E-2</v>
      </c>
      <c r="AE3" s="15">
        <v>2.499333333333335E-2</v>
      </c>
      <c r="AF3" s="2">
        <f t="shared" ref="AF3:AF15" si="7">(AE3-AD3)/AD3*100</f>
        <v>-3.0389240915557618</v>
      </c>
    </row>
    <row r="4" spans="1:32" x14ac:dyDescent="0.25">
      <c r="A4" s="2" t="s">
        <v>12</v>
      </c>
      <c r="B4" s="15">
        <v>2.8210811483148084E-3</v>
      </c>
      <c r="C4" s="15">
        <v>2.7508340898449632E-3</v>
      </c>
      <c r="D4" s="2">
        <f t="shared" si="0"/>
        <v>-2.490075782180448</v>
      </c>
      <c r="F4" s="15">
        <v>0.21851000000004561</v>
      </c>
      <c r="G4" s="15">
        <v>0.21387333333339967</v>
      </c>
      <c r="H4" s="2">
        <f t="shared" si="1"/>
        <v>-2.1219471267424725</v>
      </c>
      <c r="J4" s="15">
        <v>1.0925500000002281E-2</v>
      </c>
      <c r="K4" s="15">
        <v>1.0693666666669982E-2</v>
      </c>
      <c r="L4" s="2">
        <f t="shared" si="2"/>
        <v>-2.1219471267424819</v>
      </c>
      <c r="N4" s="15">
        <v>1.6143333333333332E-2</v>
      </c>
      <c r="O4" s="15">
        <v>1.9710000000000002E-2</v>
      </c>
      <c r="P4" s="2">
        <f t="shared" si="3"/>
        <v>22.093743547388002</v>
      </c>
      <c r="R4" s="15">
        <v>2.5130118999774466E-3</v>
      </c>
      <c r="S4" s="15">
        <v>2.5954258779034289E-3</v>
      </c>
      <c r="T4" s="15">
        <f t="shared" si="4"/>
        <v>3.2794901578747773</v>
      </c>
      <c r="V4" s="15">
        <v>0.26006666666666739</v>
      </c>
      <c r="W4" s="15">
        <v>0.21269000000000063</v>
      </c>
      <c r="X4" s="2">
        <f t="shared" si="5"/>
        <v>-18.217123814406548</v>
      </c>
      <c r="Z4" s="15">
        <v>1.3003333333333372E-2</v>
      </c>
      <c r="AA4" s="15">
        <v>1.0634500000000033E-2</v>
      </c>
      <c r="AB4" s="2">
        <f t="shared" si="6"/>
        <v>-18.217123814406552</v>
      </c>
      <c r="AD4" s="15">
        <v>1.7540000000000038E-2</v>
      </c>
      <c r="AE4" s="15">
        <v>1.8520000000000019E-2</v>
      </c>
      <c r="AF4" s="2">
        <f t="shared" si="7"/>
        <v>5.5872291904217715</v>
      </c>
    </row>
    <row r="5" spans="1:32" x14ac:dyDescent="0.25">
      <c r="A5" s="2" t="s">
        <v>13</v>
      </c>
      <c r="B5" s="15">
        <v>3.1665855460006899E-3</v>
      </c>
      <c r="C5" s="15">
        <v>2.5483509588996108E-3</v>
      </c>
      <c r="D5" s="2">
        <f t="shared" si="0"/>
        <v>-19.523697626987921</v>
      </c>
      <c r="F5" s="15">
        <v>0.26102666666672758</v>
      </c>
      <c r="G5" s="15">
        <v>0.30695999999996743</v>
      </c>
      <c r="H5" s="2">
        <f t="shared" si="1"/>
        <v>17.597180364673772</v>
      </c>
      <c r="J5" s="15">
        <v>1.3051333333336379E-2</v>
      </c>
      <c r="K5" s="15">
        <v>1.534799999999837E-2</v>
      </c>
      <c r="L5" s="2">
        <f t="shared" si="2"/>
        <v>17.597180364673758</v>
      </c>
      <c r="N5" s="15">
        <v>2.0180000000000003E-2</v>
      </c>
      <c r="O5" s="15">
        <v>1.7980000000000013E-2</v>
      </c>
      <c r="P5" s="2">
        <f t="shared" si="3"/>
        <v>-10.901883052527204</v>
      </c>
      <c r="R5" s="15">
        <v>3.4718924864507255E-3</v>
      </c>
      <c r="S5" s="15">
        <v>3.3013195744587358E-3</v>
      </c>
      <c r="T5" s="15">
        <f t="shared" si="4"/>
        <v>-4.9129664198318626</v>
      </c>
      <c r="V5" s="15">
        <v>0.3205633333333337</v>
      </c>
      <c r="W5" s="15">
        <v>0.32594333333333231</v>
      </c>
      <c r="X5" s="2">
        <f t="shared" si="5"/>
        <v>1.6782955006286646</v>
      </c>
      <c r="Z5" s="15">
        <v>1.6028166666666684E-2</v>
      </c>
      <c r="AA5" s="15">
        <v>2.4968974999999855E-2</v>
      </c>
      <c r="AB5" s="2">
        <f t="shared" si="6"/>
        <v>55.781852780000804</v>
      </c>
      <c r="AD5" s="15">
        <v>2.1540000000000042E-2</v>
      </c>
      <c r="AE5" s="15">
        <v>2.1953333333333342E-2</v>
      </c>
      <c r="AF5" s="2">
        <f t="shared" si="7"/>
        <v>1.9189105540078899</v>
      </c>
    </row>
    <row r="6" spans="1:32" x14ac:dyDescent="0.25">
      <c r="A6" s="2" t="s">
        <v>14</v>
      </c>
      <c r="B6" s="15">
        <v>3.2207476808944944E-3</v>
      </c>
      <c r="C6" s="15">
        <v>3.8580923518681774E-3</v>
      </c>
      <c r="D6" s="2">
        <f t="shared" si="0"/>
        <v>19.78871784196004</v>
      </c>
      <c r="F6" s="15">
        <v>0.25181000000004372</v>
      </c>
      <c r="G6" s="15">
        <v>0.24043666666677885</v>
      </c>
      <c r="H6" s="2">
        <f t="shared" si="1"/>
        <v>-4.5166329110293075</v>
      </c>
      <c r="J6" s="15">
        <v>1.2590500000002188E-2</v>
      </c>
      <c r="K6" s="15">
        <v>1.2021833333338941E-2</v>
      </c>
      <c r="L6" s="2">
        <f t="shared" si="2"/>
        <v>-4.5166329110293395</v>
      </c>
      <c r="N6" s="15">
        <v>1.865E-2</v>
      </c>
      <c r="O6" s="15">
        <v>1.9956666666666661E-2</v>
      </c>
      <c r="P6" s="2">
        <f t="shared" si="3"/>
        <v>7.006255585344026</v>
      </c>
      <c r="R6" s="15">
        <v>4.0449792644357456E-3</v>
      </c>
      <c r="S6" s="15">
        <v>4.6107926550455263E-3</v>
      </c>
      <c r="T6" s="15">
        <f t="shared" si="4"/>
        <v>13.988041807396231</v>
      </c>
      <c r="V6" s="15">
        <v>0.25753666666666497</v>
      </c>
      <c r="W6" s="15">
        <v>0.26351666666666768</v>
      </c>
      <c r="X6" s="2">
        <f t="shared" si="5"/>
        <v>2.3219994563891526</v>
      </c>
      <c r="Z6" s="15">
        <v>1.2876833333333249E-2</v>
      </c>
      <c r="AA6" s="15">
        <v>1.3175833333333381E-2</v>
      </c>
      <c r="AB6" s="2">
        <f t="shared" si="6"/>
        <v>2.3219994563891313</v>
      </c>
      <c r="AD6" s="15">
        <v>2.3156666666666565E-2</v>
      </c>
      <c r="AE6" s="15">
        <v>2.4740000000000057E-2</v>
      </c>
      <c r="AF6" s="2">
        <f t="shared" si="7"/>
        <v>6.8374838059601224</v>
      </c>
    </row>
    <row r="7" spans="1:32" x14ac:dyDescent="0.25">
      <c r="A7" s="2" t="s">
        <v>15</v>
      </c>
      <c r="B7" s="15">
        <v>2.731330675038749E-3</v>
      </c>
      <c r="C7" s="15">
        <v>2.3916112037408771E-3</v>
      </c>
      <c r="D7" s="2">
        <f t="shared" si="0"/>
        <v>-12.437874124964834</v>
      </c>
      <c r="F7" s="15">
        <v>0.17106000000003974</v>
      </c>
      <c r="G7" s="15">
        <v>0.16592666666666658</v>
      </c>
      <c r="H7" s="2">
        <f t="shared" si="1"/>
        <v>-3.0008963716660588</v>
      </c>
      <c r="J7" s="15">
        <v>8.5530000000019878E-3</v>
      </c>
      <c r="K7" s="15">
        <v>8.2963333333333292E-3</v>
      </c>
      <c r="L7" s="2">
        <f t="shared" si="2"/>
        <v>-3.0008963716660708</v>
      </c>
      <c r="N7" s="15">
        <v>1.7740000000000002E-2</v>
      </c>
      <c r="O7" s="15">
        <v>1.4166666666666661E-2</v>
      </c>
      <c r="P7" s="2">
        <f t="shared" si="3"/>
        <v>-20.142803457346904</v>
      </c>
      <c r="R7" s="15">
        <v>3.265540521677881E-3</v>
      </c>
      <c r="S7" s="15">
        <v>2.5487280021343054E-3</v>
      </c>
      <c r="T7" s="15">
        <f t="shared" si="4"/>
        <v>-21.950807677476533</v>
      </c>
      <c r="V7" s="15">
        <v>0.20191666666666608</v>
      </c>
      <c r="W7" s="15">
        <v>0.18230000000000066</v>
      </c>
      <c r="X7" s="2">
        <f t="shared" si="5"/>
        <v>-9.7152290548900435</v>
      </c>
      <c r="Z7" s="15">
        <v>1.0095833333333304E-2</v>
      </c>
      <c r="AA7" s="15">
        <v>9.1150000000000328E-3</v>
      </c>
      <c r="AB7" s="2">
        <f t="shared" si="6"/>
        <v>-9.7152290548900435</v>
      </c>
      <c r="AD7" s="15">
        <v>1.8426666666666591E-2</v>
      </c>
      <c r="AE7" s="15">
        <v>1.4993333333333414E-2</v>
      </c>
      <c r="AF7" s="2">
        <f t="shared" si="7"/>
        <v>-18.632416787264063</v>
      </c>
    </row>
    <row r="8" spans="1:32" x14ac:dyDescent="0.25">
      <c r="A8" s="2" t="s">
        <v>16</v>
      </c>
      <c r="B8" s="15">
        <v>2.604757905526943E-3</v>
      </c>
      <c r="C8" s="15">
        <v>3.0304647211521611E-3</v>
      </c>
      <c r="D8" s="2">
        <f t="shared" si="0"/>
        <v>16.343431177305419</v>
      </c>
      <c r="F8" s="15">
        <v>0.20811000000002855</v>
      </c>
      <c r="G8" s="15">
        <v>0.23154333333333335</v>
      </c>
      <c r="H8" s="2">
        <f t="shared" si="1"/>
        <v>11.260070795877942</v>
      </c>
      <c r="J8" s="15">
        <v>1.0405500000001427E-2</v>
      </c>
      <c r="K8" s="15">
        <v>1.1577166666666666E-2</v>
      </c>
      <c r="L8" s="2">
        <f t="shared" si="2"/>
        <v>11.260070795877928</v>
      </c>
      <c r="N8" s="15">
        <v>2.0160000000000001E-2</v>
      </c>
      <c r="O8" s="15">
        <v>2.1523333333333328E-2</v>
      </c>
      <c r="P8" s="2">
        <f t="shared" si="3"/>
        <v>6.7625661375661092</v>
      </c>
      <c r="R8" s="15">
        <v>2.5017093935274237E-3</v>
      </c>
      <c r="S8" s="15">
        <v>2.7058521266531215E-3</v>
      </c>
      <c r="T8" s="15">
        <f t="shared" si="4"/>
        <v>8.1601297758192217</v>
      </c>
      <c r="V8" s="15">
        <v>0.19765333333333235</v>
      </c>
      <c r="W8" s="15">
        <v>0.25361666666666705</v>
      </c>
      <c r="X8" s="2">
        <f t="shared" si="5"/>
        <v>28.313882892607417</v>
      </c>
      <c r="Z8" s="15">
        <v>9.8826666666666178E-3</v>
      </c>
      <c r="AA8" s="15">
        <v>1.2680833333333351E-2</v>
      </c>
      <c r="AB8" s="2">
        <f t="shared" si="6"/>
        <v>28.313882892607399</v>
      </c>
      <c r="AD8" s="15">
        <v>1.4789999999999933E-2</v>
      </c>
      <c r="AE8" s="15">
        <v>2.0966666666666651E-2</v>
      </c>
      <c r="AF8" s="2">
        <f t="shared" si="7"/>
        <v>41.762452107280225</v>
      </c>
    </row>
    <row r="9" spans="1:32" x14ac:dyDescent="0.25">
      <c r="A9" s="2" t="s">
        <v>112</v>
      </c>
      <c r="B9" s="15">
        <v>3.5151119258629362E-3</v>
      </c>
      <c r="C9" s="15">
        <v>3.8374571479783195E-3</v>
      </c>
      <c r="D9" s="2">
        <f t="shared" si="0"/>
        <v>9.1702690814389847</v>
      </c>
      <c r="F9" s="15">
        <v>0.35085999999995243</v>
      </c>
      <c r="G9" s="15">
        <v>0.33640999999998983</v>
      </c>
      <c r="H9" s="2">
        <f t="shared" si="1"/>
        <v>-4.1184518041283029</v>
      </c>
      <c r="J9" s="15">
        <v>1.7542999999997623E-2</v>
      </c>
      <c r="K9" s="15">
        <v>1.6820499999999492E-2</v>
      </c>
      <c r="L9" s="2">
        <f t="shared" si="2"/>
        <v>-4.1184518041283065</v>
      </c>
      <c r="N9" s="15">
        <v>2.1843333333333336E-2</v>
      </c>
      <c r="O9" s="15">
        <v>2.4916666666666681E-2</v>
      </c>
      <c r="P9" s="2">
        <f t="shared" si="3"/>
        <v>14.069891652678212</v>
      </c>
      <c r="R9" s="15">
        <v>2.8033099269723165E-3</v>
      </c>
      <c r="S9" s="15">
        <v>3.3560868013549684E-3</v>
      </c>
      <c r="T9" s="15">
        <f t="shared" si="4"/>
        <v>19.718721396591079</v>
      </c>
      <c r="V9" s="15">
        <v>0.27105333333333287</v>
      </c>
      <c r="W9" s="15">
        <v>0.28755333333333422</v>
      </c>
      <c r="X9" s="2">
        <f t="shared" si="5"/>
        <v>6.0873628806144087</v>
      </c>
      <c r="Z9" s="15">
        <v>1.3552666666666643E-2</v>
      </c>
      <c r="AA9" s="15">
        <v>1.437766666666671E-2</v>
      </c>
      <c r="AB9" s="2">
        <f t="shared" si="6"/>
        <v>6.087362880614406</v>
      </c>
      <c r="AD9" s="15">
        <v>1.8123333333333269E-2</v>
      </c>
      <c r="AE9" s="15">
        <v>2.6496666666666613E-2</v>
      </c>
      <c r="AF9" s="2">
        <f t="shared" si="7"/>
        <v>46.201949604561563</v>
      </c>
    </row>
    <row r="10" spans="1:32" x14ac:dyDescent="0.25">
      <c r="A10" s="2" t="s">
        <v>113</v>
      </c>
      <c r="B10" s="15">
        <v>3.884774477737146E-3</v>
      </c>
      <c r="C10" s="15">
        <v>3.3268741765880593E-3</v>
      </c>
      <c r="D10" s="2">
        <f t="shared" si="0"/>
        <v>-14.36120177236285</v>
      </c>
      <c r="F10" s="15">
        <v>0.3054099999999707</v>
      </c>
      <c r="G10" s="15">
        <v>0.28305666666674689</v>
      </c>
      <c r="H10" s="2">
        <f t="shared" si="1"/>
        <v>-7.3191229276140133</v>
      </c>
      <c r="J10" s="15">
        <v>1.5270499999998535E-2</v>
      </c>
      <c r="K10" s="15">
        <v>1.4152833333337346E-2</v>
      </c>
      <c r="L10" s="2">
        <f t="shared" si="2"/>
        <v>-7.3191229276140062</v>
      </c>
      <c r="N10" s="15">
        <v>2.5413333333333333E-2</v>
      </c>
      <c r="O10" s="15">
        <v>2.3110000000000002E-2</v>
      </c>
      <c r="P10" s="2">
        <f t="shared" si="3"/>
        <v>-9.063483735571868</v>
      </c>
      <c r="R10" s="15">
        <v>3.4193715598233414E-3</v>
      </c>
      <c r="S10" s="15">
        <v>4.5127334684805205E-3</v>
      </c>
      <c r="T10" s="15">
        <f t="shared" si="4"/>
        <v>31.975522096044649</v>
      </c>
      <c r="V10" s="15">
        <v>0.24874333333333332</v>
      </c>
      <c r="W10" s="15">
        <v>0.23759666666666809</v>
      </c>
      <c r="X10" s="2">
        <f t="shared" si="5"/>
        <v>-4.4811921257515337</v>
      </c>
      <c r="Z10" s="15">
        <v>1.2437166666666666E-2</v>
      </c>
      <c r="AA10" s="15">
        <v>1.1879833333333404E-2</v>
      </c>
      <c r="AB10" s="2">
        <f t="shared" si="6"/>
        <v>-4.4811921257515426</v>
      </c>
      <c r="AD10" s="15">
        <v>2.3523333333333268E-2</v>
      </c>
      <c r="AE10" s="15">
        <v>2.4226666666666768E-2</v>
      </c>
      <c r="AF10" s="2">
        <f t="shared" si="7"/>
        <v>2.9899390675931787</v>
      </c>
    </row>
    <row r="11" spans="1:32" x14ac:dyDescent="0.25">
      <c r="A11" s="2" t="s">
        <v>114</v>
      </c>
      <c r="B11" s="15">
        <v>4.3394406257152305E-3</v>
      </c>
      <c r="C11" s="15">
        <v>3.2509512076556082E-3</v>
      </c>
      <c r="D11" s="2">
        <f t="shared" si="0"/>
        <v>-25.083634319347702</v>
      </c>
      <c r="F11" s="15">
        <v>0.59159999999983715</v>
      </c>
      <c r="G11" s="15">
        <v>0.40083333333341536</v>
      </c>
      <c r="H11" s="2">
        <f t="shared" si="1"/>
        <v>-32.245886860458803</v>
      </c>
      <c r="J11" s="15">
        <v>2.9579999999991859E-2</v>
      </c>
      <c r="K11" s="15">
        <v>2.0041666666670767E-2</v>
      </c>
      <c r="L11" s="2">
        <f t="shared" si="2"/>
        <v>-32.245886860458818</v>
      </c>
      <c r="N11" s="15">
        <v>3.1086666666666669E-2</v>
      </c>
      <c r="O11" s="15">
        <v>2.3569999999999997E-2</v>
      </c>
      <c r="P11" s="2">
        <f t="shared" si="3"/>
        <v>-24.179712631353219</v>
      </c>
      <c r="R11" s="15">
        <v>5.2043360581964185E-3</v>
      </c>
      <c r="S11" s="15">
        <v>3.5902193034500402E-3</v>
      </c>
      <c r="T11" s="15">
        <f t="shared" si="4"/>
        <v>-31.014844865835901</v>
      </c>
      <c r="V11" s="15">
        <v>0.4964366666666658</v>
      </c>
      <c r="W11" s="15">
        <v>0.41708999999999902</v>
      </c>
      <c r="X11" s="2">
        <f t="shared" si="5"/>
        <v>-15.983240561065243</v>
      </c>
      <c r="Z11" s="15">
        <v>2.482183333333329E-2</v>
      </c>
      <c r="AA11" s="15">
        <v>2.0854499999999953E-2</v>
      </c>
      <c r="AB11" s="2">
        <f t="shared" si="6"/>
        <v>-15.983240561065232</v>
      </c>
      <c r="AD11" s="15">
        <v>3.3753333333333302E-2</v>
      </c>
      <c r="AE11" s="15">
        <v>2.4126666666666702E-2</v>
      </c>
      <c r="AF11" s="2">
        <f t="shared" si="7"/>
        <v>-28.520639936796194</v>
      </c>
    </row>
    <row r="12" spans="1:32" x14ac:dyDescent="0.25">
      <c r="A12" s="2" t="s">
        <v>115</v>
      </c>
      <c r="B12" s="15">
        <v>3.1692277115480069E-3</v>
      </c>
      <c r="C12" s="15">
        <v>3.1447895818371486E-3</v>
      </c>
      <c r="D12" s="2">
        <f t="shared" si="0"/>
        <v>-0.77110677853190535</v>
      </c>
      <c r="F12" s="15">
        <v>0.23623999999999193</v>
      </c>
      <c r="G12" s="15">
        <v>0.24381666666669544</v>
      </c>
      <c r="H12" s="2">
        <f t="shared" si="1"/>
        <v>3.2071904278292269</v>
      </c>
      <c r="J12" s="15">
        <v>1.1811999999999599E-2</v>
      </c>
      <c r="K12" s="15">
        <v>1.2190833333334773E-2</v>
      </c>
      <c r="L12" s="2">
        <f t="shared" si="2"/>
        <v>3.2071904278292154</v>
      </c>
      <c r="N12" s="15">
        <v>1.9453333333333333E-2</v>
      </c>
      <c r="O12" s="15">
        <v>1.8693333333333336E-2</v>
      </c>
      <c r="P12" s="2">
        <f t="shared" si="3"/>
        <v>-3.9067854694996407</v>
      </c>
      <c r="R12" s="15">
        <v>3.0209880850547766E-3</v>
      </c>
      <c r="S12" s="15">
        <v>2.9013152259541541E-3</v>
      </c>
      <c r="T12" s="15">
        <f t="shared" si="4"/>
        <v>-3.9613813669990914</v>
      </c>
      <c r="V12" s="15">
        <v>0.288003333333333</v>
      </c>
      <c r="W12" s="15">
        <v>0.23507666666666757</v>
      </c>
      <c r="X12" s="2">
        <f t="shared" si="5"/>
        <v>-18.377102116873239</v>
      </c>
      <c r="Z12" s="15">
        <v>1.4400166666666651E-2</v>
      </c>
      <c r="AA12" s="15">
        <v>1.175383333333338E-2</v>
      </c>
      <c r="AB12" s="2">
        <f t="shared" si="6"/>
        <v>-18.377102116873235</v>
      </c>
      <c r="AD12" s="15">
        <v>2.1956666666666624E-2</v>
      </c>
      <c r="AE12" s="15">
        <v>1.7783333333333335E-2</v>
      </c>
      <c r="AF12" s="2">
        <f t="shared" si="7"/>
        <v>-19.007135266433721</v>
      </c>
    </row>
    <row r="13" spans="1:32" x14ac:dyDescent="0.25">
      <c r="A13" s="2" t="s">
        <v>117</v>
      </c>
      <c r="B13" s="17">
        <v>3.6208050876279699E-3</v>
      </c>
      <c r="C13" s="17">
        <v>3.1862945802506475E-3</v>
      </c>
      <c r="D13" s="2">
        <f t="shared" si="0"/>
        <v>-12.000383805856147</v>
      </c>
      <c r="F13" s="17">
        <v>0.21045000000002803</v>
      </c>
      <c r="G13" s="17">
        <v>0.1990966666666667</v>
      </c>
      <c r="H13" s="2">
        <f t="shared" si="1"/>
        <v>-5.3947889443382371</v>
      </c>
      <c r="J13" s="17">
        <v>1.0522500000001401E-2</v>
      </c>
      <c r="K13" s="17">
        <v>9.9548333333333346E-3</v>
      </c>
      <c r="L13" s="2">
        <f t="shared" si="2"/>
        <v>-5.3947889443382309</v>
      </c>
      <c r="N13" s="17">
        <v>2.0246666666666673E-2</v>
      </c>
      <c r="O13" s="17">
        <v>1.9336666666666669E-2</v>
      </c>
      <c r="P13" s="2">
        <f t="shared" si="3"/>
        <v>-4.4945670069147399</v>
      </c>
      <c r="R13" s="15">
        <v>2.8314827166710018E-3</v>
      </c>
      <c r="S13" s="15">
        <v>2.475225231723084E-3</v>
      </c>
      <c r="T13" s="15">
        <f t="shared" si="4"/>
        <v>-12.58201163829715</v>
      </c>
      <c r="V13" s="15">
        <v>0.23819666666666625</v>
      </c>
      <c r="W13" s="15">
        <v>0.24347999999999873</v>
      </c>
      <c r="X13" s="2">
        <f t="shared" si="5"/>
        <v>2.2180551085234117</v>
      </c>
      <c r="Z13" s="15">
        <v>1.1909833333333314E-2</v>
      </c>
      <c r="AA13" s="15">
        <v>1.2173999999999937E-2</v>
      </c>
      <c r="AB13" s="2">
        <f t="shared" si="6"/>
        <v>2.2180551085234028</v>
      </c>
      <c r="AD13" s="15">
        <v>1.6880000000000006E-2</v>
      </c>
      <c r="AE13" s="15">
        <v>1.5583333333333357E-2</v>
      </c>
      <c r="AF13" s="2">
        <f t="shared" si="7"/>
        <v>-7.6816745655607139</v>
      </c>
    </row>
    <row r="14" spans="1:32" x14ac:dyDescent="0.25">
      <c r="A14" s="2" t="s">
        <v>121</v>
      </c>
      <c r="B14" s="17">
        <v>3.7783345155832388E-3</v>
      </c>
      <c r="C14" s="17">
        <v>4.1805091776544396E-3</v>
      </c>
      <c r="D14" s="2">
        <f t="shared" si="0"/>
        <v>10.644231219138613</v>
      </c>
      <c r="F14" s="17">
        <v>0.29298333333330961</v>
      </c>
      <c r="G14" s="17">
        <v>0.35479999999998424</v>
      </c>
      <c r="H14" s="2">
        <f t="shared" si="1"/>
        <v>21.099038625637281</v>
      </c>
      <c r="J14" s="17">
        <v>1.4649166666665483E-2</v>
      </c>
      <c r="K14" s="17">
        <v>1.7739999999999211E-2</v>
      </c>
      <c r="L14" s="2">
        <f t="shared" si="2"/>
        <v>21.099038625637256</v>
      </c>
      <c r="N14" s="17">
        <v>2.3783333333333333E-2</v>
      </c>
      <c r="O14" s="17">
        <v>2.5419999999999998E-2</v>
      </c>
      <c r="P14" s="2">
        <f t="shared" si="3"/>
        <v>6.8815697266993618</v>
      </c>
      <c r="R14" s="15">
        <v>2.0009139297413035E-3</v>
      </c>
      <c r="S14" s="15">
        <v>2.0932871360651198E-3</v>
      </c>
      <c r="T14" s="15">
        <f t="shared" si="4"/>
        <v>4.6165507146906188</v>
      </c>
      <c r="V14" s="15">
        <v>0.21203999999999956</v>
      </c>
      <c r="W14" s="15">
        <v>0.2179733333333338</v>
      </c>
      <c r="X14" s="2">
        <f t="shared" si="5"/>
        <v>2.7982141734268282</v>
      </c>
      <c r="Z14" s="15">
        <v>1.0601999999999978E-2</v>
      </c>
      <c r="AA14" s="15">
        <v>1.089866666666669E-2</v>
      </c>
      <c r="AB14" s="2">
        <f t="shared" si="6"/>
        <v>2.7982141734268349</v>
      </c>
      <c r="AD14" s="15">
        <v>1.4279999999999996E-2</v>
      </c>
      <c r="AE14" s="15">
        <v>1.462666666666664E-2</v>
      </c>
      <c r="AF14" s="2">
        <f t="shared" si="7"/>
        <v>2.4276377217552136</v>
      </c>
    </row>
    <row r="15" spans="1:32" x14ac:dyDescent="0.25">
      <c r="A15" s="2" t="s">
        <v>122</v>
      </c>
      <c r="B15" s="17">
        <v>4.0171481333864572E-3</v>
      </c>
      <c r="C15" s="17">
        <v>3.4785489948388868E-3</v>
      </c>
      <c r="D15" s="2">
        <f t="shared" si="0"/>
        <v>-13.407500063820926</v>
      </c>
      <c r="F15" s="17">
        <v>0.27009999999998663</v>
      </c>
      <c r="G15" s="17">
        <v>0.23608666666666489</v>
      </c>
      <c r="H15" s="2">
        <f t="shared" si="1"/>
        <v>-12.592866839438512</v>
      </c>
      <c r="J15" s="17">
        <v>1.3504999999999332E-2</v>
      </c>
      <c r="K15" s="17">
        <v>1.1804333333333245E-2</v>
      </c>
      <c r="L15" s="2">
        <f t="shared" si="2"/>
        <v>-12.592866839438512</v>
      </c>
      <c r="N15" s="17">
        <v>2.5119999999999993E-2</v>
      </c>
      <c r="O15" s="17">
        <v>2.4583333333333336E-2</v>
      </c>
      <c r="P15" s="2">
        <f t="shared" si="3"/>
        <v>-2.1364118895965669</v>
      </c>
      <c r="R15" s="15">
        <v>3.8354851203445581E-3</v>
      </c>
      <c r="S15" s="15">
        <v>3.632761425431725E-3</v>
      </c>
      <c r="T15" s="15">
        <f t="shared" si="4"/>
        <v>-5.2854772878019043</v>
      </c>
      <c r="V15" s="15">
        <v>0.36022333333333351</v>
      </c>
      <c r="W15" s="15">
        <v>0.2943933333333339</v>
      </c>
      <c r="X15" s="2">
        <f t="shared" si="5"/>
        <v>-18.274773982806845</v>
      </c>
      <c r="Z15" s="15">
        <v>1.8011166666666675E-2</v>
      </c>
      <c r="AA15" s="15">
        <v>1.4719666666666693E-2</v>
      </c>
      <c r="AB15" s="2">
        <f t="shared" si="6"/>
        <v>-18.274773982806853</v>
      </c>
      <c r="AD15" s="15">
        <v>2.6186666666666653E-2</v>
      </c>
      <c r="AE15" s="15">
        <v>2.4893333333333361E-2</v>
      </c>
      <c r="AF15" s="2">
        <f t="shared" si="7"/>
        <v>-4.9389002036658329</v>
      </c>
    </row>
    <row r="16" spans="1:32" x14ac:dyDescent="0.25">
      <c r="A16" s="61" t="s">
        <v>123</v>
      </c>
      <c r="B16" s="89" t="s">
        <v>184</v>
      </c>
      <c r="C16" s="102"/>
      <c r="D16" s="103"/>
      <c r="F16" s="89" t="s">
        <v>184</v>
      </c>
      <c r="G16" s="102"/>
      <c r="H16" s="103"/>
      <c r="J16" s="89" t="s">
        <v>184</v>
      </c>
      <c r="K16" s="102"/>
      <c r="L16" s="103"/>
      <c r="N16" s="89" t="s">
        <v>184</v>
      </c>
      <c r="O16" s="102"/>
      <c r="P16" s="103"/>
      <c r="R16" s="89" t="s">
        <v>184</v>
      </c>
      <c r="S16" s="102"/>
      <c r="T16" s="103"/>
      <c r="V16" s="89" t="s">
        <v>184</v>
      </c>
      <c r="W16" s="102"/>
      <c r="X16" s="103"/>
      <c r="Z16" s="89" t="s">
        <v>184</v>
      </c>
      <c r="AA16" s="102"/>
      <c r="AB16" s="103"/>
      <c r="AD16" s="89" t="s">
        <v>184</v>
      </c>
      <c r="AE16" s="102"/>
      <c r="AF16" s="103"/>
    </row>
    <row r="17" spans="1:32" x14ac:dyDescent="0.25">
      <c r="A17" s="1" t="s">
        <v>17</v>
      </c>
      <c r="B17">
        <f>AVERAGE(B2:B16)</f>
        <v>3.4353765559650249E-3</v>
      </c>
      <c r="C17" s="2">
        <f t="shared" ref="C17:AF17" si="8">AVERAGE(C2:C16)</f>
        <v>3.4385780890196101E-3</v>
      </c>
      <c r="D17" s="50">
        <f t="shared" si="8"/>
        <v>2.3797884710161199</v>
      </c>
      <c r="E17" s="2"/>
      <c r="F17" s="2">
        <f t="shared" si="8"/>
        <v>0.27950761904762461</v>
      </c>
      <c r="G17" s="2">
        <f t="shared" si="8"/>
        <v>0.26409452380955944</v>
      </c>
      <c r="H17" s="50">
        <f t="shared" si="8"/>
        <v>-2.6528513177591075</v>
      </c>
      <c r="I17" s="2"/>
      <c r="J17" s="2">
        <f t="shared" si="8"/>
        <v>1.3975380952381228E-2</v>
      </c>
      <c r="K17" s="2">
        <f t="shared" si="8"/>
        <v>1.3204726190477968E-2</v>
      </c>
      <c r="L17" s="50">
        <f t="shared" si="8"/>
        <v>-2.652851317759116</v>
      </c>
      <c r="M17" s="2"/>
      <c r="N17" s="2">
        <f t="shared" si="8"/>
        <v>2.1372857142857141E-2</v>
      </c>
      <c r="O17" s="2">
        <f t="shared" si="8"/>
        <v>2.1544761904761903E-2</v>
      </c>
      <c r="P17" s="50">
        <f t="shared" si="8"/>
        <v>3.023044749898514</v>
      </c>
      <c r="Q17" s="2"/>
      <c r="R17" s="2">
        <f t="shared" si="8"/>
        <v>3.2767679559089773E-3</v>
      </c>
      <c r="S17" s="2">
        <f t="shared" si="8"/>
        <v>3.3184996317436296E-3</v>
      </c>
      <c r="T17" s="50">
        <f t="shared" si="8"/>
        <v>3.2123606929201953</v>
      </c>
      <c r="U17" s="2"/>
      <c r="V17" s="2">
        <f t="shared" si="8"/>
        <v>0.2752404761904757</v>
      </c>
      <c r="W17" s="2">
        <f t="shared" si="8"/>
        <v>0.26055904761904802</v>
      </c>
      <c r="X17" s="50">
        <f t="shared" si="8"/>
        <v>-3.4688113573757451</v>
      </c>
      <c r="Y17" s="2"/>
      <c r="Z17" s="2">
        <f t="shared" si="8"/>
        <v>1.3762023809523785E-2</v>
      </c>
      <c r="AA17" s="2">
        <f t="shared" si="8"/>
        <v>1.3647367261904778E-2</v>
      </c>
      <c r="AB17" s="50">
        <f t="shared" si="8"/>
        <v>0.39572844829368897</v>
      </c>
      <c r="AC17" s="2"/>
      <c r="AD17" s="2">
        <f t="shared" si="8"/>
        <v>2.0809523809523778E-2</v>
      </c>
      <c r="AE17" s="2">
        <f t="shared" si="8"/>
        <v>2.0867380952380971E-2</v>
      </c>
      <c r="AF17" s="50">
        <f t="shared" si="8"/>
        <v>3.1676764029901716</v>
      </c>
    </row>
    <row r="18" spans="1:32" x14ac:dyDescent="0.25">
      <c r="A18" s="1" t="s">
        <v>153</v>
      </c>
      <c r="B18">
        <f>STDEV(B2:B16)</f>
        <v>5.8491550752478921E-4</v>
      </c>
      <c r="C18" s="2">
        <f t="shared" ref="C18:AF18" si="9">STDEV(C2:C16)</f>
        <v>8.073001830190223E-4</v>
      </c>
      <c r="D18" s="2">
        <f t="shared" si="9"/>
        <v>30.681474097565442</v>
      </c>
      <c r="E18" s="2"/>
      <c r="F18" s="2">
        <f t="shared" si="9"/>
        <v>0.10719274829106895</v>
      </c>
      <c r="G18" s="2">
        <f t="shared" si="9"/>
        <v>7.0642013825189989E-2</v>
      </c>
      <c r="H18" s="2">
        <f t="shared" si="9"/>
        <v>13.442223452364754</v>
      </c>
      <c r="I18" s="2"/>
      <c r="J18" s="2">
        <f t="shared" si="9"/>
        <v>5.3596374145534519E-3</v>
      </c>
      <c r="K18" s="2">
        <f t="shared" si="9"/>
        <v>3.532100691259503E-3</v>
      </c>
      <c r="L18" s="2">
        <f t="shared" si="9"/>
        <v>13.442223452364752</v>
      </c>
      <c r="M18" s="2"/>
      <c r="N18" s="2">
        <f t="shared" si="9"/>
        <v>4.1192362700029047E-3</v>
      </c>
      <c r="O18" s="2">
        <f t="shared" si="9"/>
        <v>3.412159432123885E-3</v>
      </c>
      <c r="P18" s="2">
        <f t="shared" si="9"/>
        <v>21.798895882515335</v>
      </c>
      <c r="Q18" s="2"/>
      <c r="R18" s="2">
        <f t="shared" si="9"/>
        <v>8.7136809086695521E-4</v>
      </c>
      <c r="S18" s="2">
        <f t="shared" si="9"/>
        <v>8.2817033880358212E-4</v>
      </c>
      <c r="T18" s="2">
        <f t="shared" si="9"/>
        <v>19.059996280992678</v>
      </c>
      <c r="U18" s="2"/>
      <c r="V18" s="2">
        <f t="shared" si="9"/>
        <v>8.2659827838057698E-2</v>
      </c>
      <c r="W18" s="2">
        <f t="shared" si="9"/>
        <v>6.2473000628833021E-2</v>
      </c>
      <c r="X18" s="2">
        <f t="shared" si="9"/>
        <v>12.806670168278309</v>
      </c>
      <c r="Y18" s="2"/>
      <c r="Z18" s="2">
        <f t="shared" si="9"/>
        <v>4.1329913919028885E-3</v>
      </c>
      <c r="AA18" s="2">
        <f t="shared" si="9"/>
        <v>4.4147678374561253E-3</v>
      </c>
      <c r="AB18" s="2">
        <f t="shared" si="9"/>
        <v>20.394576110340136</v>
      </c>
      <c r="AC18" s="2"/>
      <c r="AD18" s="2">
        <f t="shared" si="9"/>
        <v>5.4279094930923229E-3</v>
      </c>
      <c r="AE18" s="2">
        <f t="shared" si="9"/>
        <v>4.1723586103817106E-3</v>
      </c>
      <c r="AF18" s="2">
        <f t="shared" si="9"/>
        <v>21.102897830078742</v>
      </c>
    </row>
    <row r="20" spans="1:32" x14ac:dyDescent="0.25">
      <c r="A20" s="20"/>
      <c r="B20" s="35"/>
      <c r="C20" s="35" t="s">
        <v>283</v>
      </c>
      <c r="G20" s="35" t="s">
        <v>283</v>
      </c>
      <c r="K20" s="35" t="s">
        <v>283</v>
      </c>
      <c r="O20" s="35" t="s">
        <v>283</v>
      </c>
      <c r="S20" s="35" t="s">
        <v>283</v>
      </c>
      <c r="W20" s="35" t="s">
        <v>283</v>
      </c>
      <c r="AA20" s="35" t="s">
        <v>283</v>
      </c>
      <c r="AE20" s="35" t="s">
        <v>283</v>
      </c>
    </row>
    <row r="21" spans="1:32" x14ac:dyDescent="0.25">
      <c r="A21" s="20"/>
      <c r="B21" s="157"/>
      <c r="C21" s="157" t="s">
        <v>376</v>
      </c>
      <c r="D21" s="158"/>
      <c r="E21" s="158"/>
      <c r="F21" s="158"/>
      <c r="G21" s="159" t="s">
        <v>377</v>
      </c>
      <c r="H21" s="158"/>
      <c r="I21" s="158"/>
      <c r="J21" s="158"/>
      <c r="K21" s="159" t="s">
        <v>378</v>
      </c>
      <c r="L21" s="158"/>
      <c r="M21" s="158"/>
      <c r="N21" s="158"/>
      <c r="O21" s="159" t="s">
        <v>379</v>
      </c>
      <c r="P21" s="158"/>
      <c r="Q21" s="158"/>
      <c r="R21" s="158"/>
      <c r="S21" s="159" t="s">
        <v>380</v>
      </c>
      <c r="T21" s="158"/>
      <c r="U21" s="158"/>
      <c r="V21" s="158"/>
      <c r="W21" s="159" t="s">
        <v>381</v>
      </c>
      <c r="X21" s="158"/>
      <c r="Y21" s="158"/>
      <c r="Z21" s="158"/>
      <c r="AA21" s="159" t="s">
        <v>382</v>
      </c>
      <c r="AB21" s="158"/>
      <c r="AC21" s="158"/>
      <c r="AD21" s="158"/>
      <c r="AE21" s="159" t="s">
        <v>383</v>
      </c>
      <c r="AF21" s="158"/>
    </row>
    <row r="22" spans="1:32" x14ac:dyDescent="0.25">
      <c r="A22" s="20" t="s">
        <v>281</v>
      </c>
      <c r="B22" s="26">
        <v>-3.0000000000000001E-6</v>
      </c>
      <c r="C22" s="26">
        <v>9.5100000000000002E-4</v>
      </c>
      <c r="F22">
        <v>1.5413E-2</v>
      </c>
      <c r="G22">
        <v>5.8528999999999998E-2</v>
      </c>
      <c r="J22">
        <v>7.7099999999999998E-4</v>
      </c>
      <c r="K22">
        <v>2.9260000000000002E-3</v>
      </c>
      <c r="N22">
        <v>-1.7200000000000001E-4</v>
      </c>
      <c r="O22">
        <v>4.0899999999999999E-3</v>
      </c>
      <c r="R22">
        <v>-4.1999999999999998E-5</v>
      </c>
      <c r="S22">
        <v>6.8900000000000005E-4</v>
      </c>
      <c r="V22">
        <v>1.4681E-2</v>
      </c>
      <c r="W22">
        <v>3.6587000000000001E-2</v>
      </c>
      <c r="Z22">
        <v>1.15E-4</v>
      </c>
      <c r="AA22">
        <v>3.1710000000000002E-3</v>
      </c>
      <c r="AD22">
        <v>-5.8E-5</v>
      </c>
      <c r="AE22">
        <v>4.3530000000000001E-3</v>
      </c>
    </row>
    <row r="23" spans="1:32" x14ac:dyDescent="0.25">
      <c r="A23" s="20"/>
      <c r="B23" s="35" t="s">
        <v>282</v>
      </c>
      <c r="C23" s="49">
        <f>B22/C22</f>
        <v>-3.1545741324921135E-3</v>
      </c>
      <c r="F23" s="35" t="s">
        <v>282</v>
      </c>
      <c r="G23" s="56">
        <f>F22/G22</f>
        <v>0.26333954108219859</v>
      </c>
      <c r="J23" s="35" t="s">
        <v>282</v>
      </c>
      <c r="K23" s="56">
        <f>J22/K22</f>
        <v>0.26349965823650029</v>
      </c>
      <c r="N23" s="35" t="s">
        <v>282</v>
      </c>
      <c r="O23" s="56">
        <f>N22/O22</f>
        <v>-4.2053789731051346E-2</v>
      </c>
      <c r="R23" s="35" t="s">
        <v>282</v>
      </c>
      <c r="S23" s="56">
        <f>R22/S22</f>
        <v>-6.0957910014513783E-2</v>
      </c>
      <c r="V23" s="35" t="s">
        <v>282</v>
      </c>
      <c r="W23" s="56">
        <f>V22/W22</f>
        <v>0.40126274359745262</v>
      </c>
      <c r="Z23" s="35" t="s">
        <v>282</v>
      </c>
      <c r="AA23" s="56">
        <f>Z22/AA22</f>
        <v>3.6266162093976664E-2</v>
      </c>
      <c r="AD23" s="35" t="s">
        <v>282</v>
      </c>
      <c r="AE23" s="56">
        <f>AD22/AE22</f>
        <v>-1.3324144268320699E-2</v>
      </c>
    </row>
    <row r="29" spans="1:32" x14ac:dyDescent="0.25">
      <c r="AF29" s="5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23"/>
  <sheetViews>
    <sheetView workbookViewId="0">
      <pane xSplit="1" topLeftCell="L1" activePane="topRight" state="frozen"/>
      <selection pane="topRight" activeCell="AF17" activeCellId="7" sqref="D17 H17 L17 P17 T17 X17 AB17 AF17"/>
    </sheetView>
  </sheetViews>
  <sheetFormatPr defaultRowHeight="15" x14ac:dyDescent="0.25"/>
  <cols>
    <col min="35" max="35" width="9.140625" style="136"/>
  </cols>
  <sheetData>
    <row r="1" spans="1:32" x14ac:dyDescent="0.25">
      <c r="A1" s="2" t="s">
        <v>296</v>
      </c>
      <c r="B1" s="2" t="s">
        <v>314</v>
      </c>
      <c r="C1" s="2" t="s">
        <v>315</v>
      </c>
      <c r="D1" s="2" t="s">
        <v>23</v>
      </c>
      <c r="E1" s="2"/>
      <c r="F1" s="2" t="s">
        <v>316</v>
      </c>
      <c r="G1" s="2" t="s">
        <v>317</v>
      </c>
      <c r="H1" s="2" t="s">
        <v>23</v>
      </c>
      <c r="I1" s="2"/>
      <c r="J1" s="2" t="s">
        <v>318</v>
      </c>
      <c r="K1" s="2" t="s">
        <v>319</v>
      </c>
      <c r="L1" s="2" t="s">
        <v>23</v>
      </c>
      <c r="M1" s="2"/>
      <c r="N1" s="2" t="s">
        <v>320</v>
      </c>
      <c r="O1" s="2" t="s">
        <v>321</v>
      </c>
      <c r="P1" s="2" t="s">
        <v>23</v>
      </c>
      <c r="Q1" s="2"/>
      <c r="R1" s="2" t="s">
        <v>322</v>
      </c>
      <c r="S1" s="2" t="s">
        <v>323</v>
      </c>
      <c r="T1" s="2" t="s">
        <v>23</v>
      </c>
      <c r="U1" s="2"/>
      <c r="V1" s="2" t="s">
        <v>324</v>
      </c>
      <c r="W1" s="2" t="s">
        <v>325</v>
      </c>
      <c r="X1" s="2" t="s">
        <v>23</v>
      </c>
      <c r="Y1" s="2"/>
      <c r="Z1" s="2" t="s">
        <v>326</v>
      </c>
      <c r="AA1" s="2" t="s">
        <v>327</v>
      </c>
      <c r="AB1" s="2" t="s">
        <v>23</v>
      </c>
      <c r="AC1" s="2"/>
      <c r="AD1" s="2" t="s">
        <v>328</v>
      </c>
      <c r="AE1" s="2" t="s">
        <v>329</v>
      </c>
      <c r="AF1" s="2" t="s">
        <v>23</v>
      </c>
    </row>
    <row r="2" spans="1:32" x14ac:dyDescent="0.25">
      <c r="A2" s="2" t="s">
        <v>11</v>
      </c>
      <c r="B2" s="15">
        <v>2.5734634688428432E-3</v>
      </c>
      <c r="C2" s="15">
        <v>3.7883901169081407E-3</v>
      </c>
      <c r="D2" s="15">
        <f>(C2-B2)/B2*100</f>
        <v>47.209788006494946</v>
      </c>
      <c r="F2" s="15">
        <v>0.17463500000000015</v>
      </c>
      <c r="G2" s="15">
        <v>0.16002000000000904</v>
      </c>
      <c r="H2">
        <f>(G2-F2)/F2*100</f>
        <v>-8.3688836716529291</v>
      </c>
      <c r="J2" s="15">
        <v>8.7317500000000069E-3</v>
      </c>
      <c r="K2" s="15">
        <v>8.0010000000004522E-3</v>
      </c>
      <c r="L2">
        <f>(K2-J2)/J2*100</f>
        <v>-8.368883671652922</v>
      </c>
      <c r="N2" s="15">
        <v>1.3840000000000012E-2</v>
      </c>
      <c r="O2" s="15">
        <v>2.3543333333333329E-2</v>
      </c>
      <c r="P2">
        <f>(O2-N2)/N2*100</f>
        <v>70.110789980732008</v>
      </c>
      <c r="R2" s="15">
        <v>2.9529165781578375E-3</v>
      </c>
      <c r="S2" s="15">
        <v>2.9855239668994528E-3</v>
      </c>
      <c r="T2" s="15">
        <f>(S2-R2)/R2*100</f>
        <v>1.1042434785596715</v>
      </c>
      <c r="V2" s="15">
        <v>0.1359599999999993</v>
      </c>
      <c r="W2" s="15">
        <v>0.1061333333333337</v>
      </c>
      <c r="X2">
        <f>(W2-V2)/V2*100</f>
        <v>-21.937824850445537</v>
      </c>
      <c r="Z2" s="15">
        <v>6.7979999999999699E-3</v>
      </c>
      <c r="AA2" s="15">
        <v>5.3066666666666852E-3</v>
      </c>
      <c r="AB2">
        <f>(AA2-Z2)/Z2*100</f>
        <v>-21.93782485044559</v>
      </c>
      <c r="AD2" s="15">
        <v>1.5890000000000071E-2</v>
      </c>
      <c r="AE2" s="15">
        <v>1.4870000000000013E-2</v>
      </c>
      <c r="AF2">
        <f>(AE2-AD2)/AD2*100</f>
        <v>-6.4191315292640203</v>
      </c>
    </row>
    <row r="3" spans="1:32" x14ac:dyDescent="0.25">
      <c r="A3" s="2" t="s">
        <v>10</v>
      </c>
      <c r="B3" s="15">
        <v>4.2430869214464678E-3</v>
      </c>
      <c r="C3" s="15">
        <v>4.7829118280838245E-3</v>
      </c>
      <c r="D3" s="15">
        <f t="shared" ref="D3:D15" si="0">(C3-B3)/B3*100</f>
        <v>12.722456943053395</v>
      </c>
      <c r="F3" s="15">
        <v>0.38754999999997813</v>
      </c>
      <c r="G3" s="15">
        <v>0.32898666666665582</v>
      </c>
      <c r="H3" s="2">
        <f t="shared" ref="H3:H15" si="1">(G3-F3)/F3*100</f>
        <v>-15.111168451380625</v>
      </c>
      <c r="J3" s="15">
        <v>1.9377499999998906E-2</v>
      </c>
      <c r="K3" s="15">
        <v>1.6449333333332792E-2</v>
      </c>
      <c r="L3" s="2">
        <f t="shared" ref="L3:L15" si="2">(K3-J3)/J3*100</f>
        <v>-15.111168451380619</v>
      </c>
      <c r="N3" s="15">
        <v>2.9419999999999998E-2</v>
      </c>
      <c r="O3" s="15">
        <v>3.1846666666666676E-2</v>
      </c>
      <c r="P3" s="2">
        <f t="shared" ref="P3:P15" si="3">(O3-N3)/N3*100</f>
        <v>8.2483571266712374</v>
      </c>
      <c r="R3" s="15">
        <v>5.6581337266204497E-3</v>
      </c>
      <c r="S3" s="15">
        <v>6.1739571025834659E-3</v>
      </c>
      <c r="T3" s="15">
        <f t="shared" ref="T3:T15" si="4">(S3-R3)/R3*100</f>
        <v>9.1164931916713954</v>
      </c>
      <c r="V3" s="15">
        <v>0.27836333333333291</v>
      </c>
      <c r="W3" s="15">
        <v>0.292663333333333</v>
      </c>
      <c r="X3" s="2">
        <f t="shared" ref="X3:X15" si="5">(W3-V3)/V3*100</f>
        <v>5.1371708438611812</v>
      </c>
      <c r="Z3" s="15">
        <v>1.3918166666666646E-2</v>
      </c>
      <c r="AA3" s="15">
        <v>1.4633166666666649E-2</v>
      </c>
      <c r="AB3" s="2">
        <f t="shared" ref="AB3:AB15" si="6">(AA3-Z3)/Z3*100</f>
        <v>5.1371708438611634</v>
      </c>
      <c r="AD3" s="15">
        <v>2.8559999999999992E-2</v>
      </c>
      <c r="AE3" s="15">
        <v>3.2196666666666651E-2</v>
      </c>
      <c r="AF3" s="2">
        <f t="shared" ref="AF3:AF15" si="7">(AE3-AD3)/AD3*100</f>
        <v>12.733426704014919</v>
      </c>
    </row>
    <row r="4" spans="1:32" x14ac:dyDescent="0.25">
      <c r="A4" s="2" t="s">
        <v>12</v>
      </c>
      <c r="B4" s="15">
        <v>3.10569690413353E-3</v>
      </c>
      <c r="C4" s="15">
        <v>3.7758429911236686E-3</v>
      </c>
      <c r="D4" s="15">
        <f t="shared" si="0"/>
        <v>21.577961651641118</v>
      </c>
      <c r="F4" s="15">
        <v>0.2217900000000064</v>
      </c>
      <c r="G4" s="15">
        <v>0.24433666666666717</v>
      </c>
      <c r="H4" s="2">
        <f t="shared" si="1"/>
        <v>10.165772427368287</v>
      </c>
      <c r="J4" s="15">
        <v>1.1089500000000321E-2</v>
      </c>
      <c r="K4" s="15">
        <v>1.2216833333333357E-2</v>
      </c>
      <c r="L4" s="2">
        <f t="shared" si="2"/>
        <v>10.16577242736826</v>
      </c>
      <c r="N4" s="15">
        <v>2.4279999999999999E-2</v>
      </c>
      <c r="O4" s="15">
        <v>2.2083333333333333E-2</v>
      </c>
      <c r="P4" s="2">
        <f t="shared" si="3"/>
        <v>-9.0472267984623826</v>
      </c>
      <c r="R4" s="15">
        <v>3.590634736398026E-3</v>
      </c>
      <c r="S4" s="15">
        <v>4.2682334960750905E-3</v>
      </c>
      <c r="T4" s="15">
        <f t="shared" si="4"/>
        <v>18.87128069052223</v>
      </c>
      <c r="V4" s="15">
        <v>0.21622999999999939</v>
      </c>
      <c r="W4" s="15">
        <v>0.25438000000000138</v>
      </c>
      <c r="X4" s="2">
        <f t="shared" si="5"/>
        <v>17.64325024279799</v>
      </c>
      <c r="Z4" s="15">
        <v>1.0811499999999969E-2</v>
      </c>
      <c r="AA4" s="15">
        <v>1.2719000000000069E-2</v>
      </c>
      <c r="AB4" s="2">
        <f t="shared" si="6"/>
        <v>17.643250242797997</v>
      </c>
      <c r="AD4" s="15">
        <v>2.1913333333333302E-2</v>
      </c>
      <c r="AE4" s="15">
        <v>2.6996666666666631E-2</v>
      </c>
      <c r="AF4" s="2">
        <f t="shared" si="7"/>
        <v>23.197444478247654</v>
      </c>
    </row>
    <row r="5" spans="1:32" x14ac:dyDescent="0.25">
      <c r="A5" s="2" t="s">
        <v>13</v>
      </c>
      <c r="B5" s="15">
        <v>4.2007095967520119E-3</v>
      </c>
      <c r="C5" s="15">
        <v>3.5145467004518705E-3</v>
      </c>
      <c r="D5" s="15">
        <f t="shared" si="0"/>
        <v>-16.334452084730696</v>
      </c>
      <c r="F5" s="15">
        <v>0.34871333333331506</v>
      </c>
      <c r="G5" s="15">
        <v>0.32982999999997215</v>
      </c>
      <c r="H5" s="2">
        <f t="shared" si="1"/>
        <v>-5.4151452004542122</v>
      </c>
      <c r="J5" s="15">
        <v>1.7435666666665753E-2</v>
      </c>
      <c r="K5" s="15">
        <v>1.6491499999998604E-2</v>
      </c>
      <c r="L5" s="2">
        <f t="shared" si="2"/>
        <v>-5.4151452004542282</v>
      </c>
      <c r="N5" s="15">
        <v>2.5316666666666664E-2</v>
      </c>
      <c r="O5" s="15">
        <v>2.4246666666666684E-2</v>
      </c>
      <c r="P5" s="2">
        <f t="shared" si="3"/>
        <v>-4.2264647794600947</v>
      </c>
      <c r="R5" s="15">
        <v>4.8708145738742895E-3</v>
      </c>
      <c r="S5" s="15">
        <v>3.3584934775417095E-3</v>
      </c>
      <c r="T5" s="15">
        <f t="shared" si="4"/>
        <v>-31.04862797373266</v>
      </c>
      <c r="V5" s="15">
        <v>0.29714000000000024</v>
      </c>
      <c r="W5" s="15">
        <v>0.27981666666666644</v>
      </c>
      <c r="X5" s="2">
        <f t="shared" si="5"/>
        <v>-5.8300240066412421</v>
      </c>
      <c r="Z5" s="15">
        <v>1.4857000000000014E-2</v>
      </c>
      <c r="AA5" s="15">
        <v>1.3990833333333322E-2</v>
      </c>
      <c r="AB5" s="2">
        <f t="shared" si="6"/>
        <v>-5.8300240066412554</v>
      </c>
      <c r="AD5" s="15">
        <v>2.6383333333333276E-2</v>
      </c>
      <c r="AE5" s="15">
        <v>2.0230000000000043E-2</v>
      </c>
      <c r="AF5" s="2">
        <f t="shared" si="7"/>
        <v>-23.32280480101041</v>
      </c>
    </row>
    <row r="6" spans="1:32" x14ac:dyDescent="0.25">
      <c r="A6" s="2" t="s">
        <v>14</v>
      </c>
      <c r="B6" s="15">
        <v>4.4509511355789221E-3</v>
      </c>
      <c r="C6" s="15">
        <v>4.2662602043387204E-3</v>
      </c>
      <c r="D6" s="15">
        <f t="shared" si="0"/>
        <v>-4.1494711043638413</v>
      </c>
      <c r="F6" s="15">
        <v>0.3294499999999867</v>
      </c>
      <c r="G6" s="15">
        <v>0.32508333333329481</v>
      </c>
      <c r="H6" s="2">
        <f t="shared" si="1"/>
        <v>-1.3254413922270645</v>
      </c>
      <c r="J6" s="15">
        <v>1.6472499999999335E-2</v>
      </c>
      <c r="K6" s="15">
        <v>1.6254166666664738E-2</v>
      </c>
      <c r="L6" s="2">
        <f t="shared" si="2"/>
        <v>-1.3254413922270813</v>
      </c>
      <c r="N6" s="15">
        <v>2.9623333333333335E-2</v>
      </c>
      <c r="O6" s="15">
        <v>2.5179999999999998E-2</v>
      </c>
      <c r="P6" s="2">
        <f t="shared" si="3"/>
        <v>-14.999437380443355</v>
      </c>
      <c r="R6" s="15">
        <v>4.7551182226346954E-3</v>
      </c>
      <c r="S6" s="15">
        <v>5.6797353020724166E-3</v>
      </c>
      <c r="T6" s="15">
        <f t="shared" si="4"/>
        <v>19.44467069265448</v>
      </c>
      <c r="V6" s="15">
        <v>0.26457333333333327</v>
      </c>
      <c r="W6" s="15">
        <v>0.26465333333333368</v>
      </c>
      <c r="X6" s="2">
        <f t="shared" si="5"/>
        <v>3.0237363302076211E-2</v>
      </c>
      <c r="Z6" s="15">
        <v>1.3228666666666661E-2</v>
      </c>
      <c r="AA6" s="15">
        <v>1.3232666666666684E-2</v>
      </c>
      <c r="AB6" s="2">
        <f t="shared" si="6"/>
        <v>3.0237363302094571E-2</v>
      </c>
      <c r="AD6" s="15">
        <v>2.8989999999999922E-2</v>
      </c>
      <c r="AE6" s="15">
        <v>3.1109999999999971E-2</v>
      </c>
      <c r="AF6" s="2">
        <f t="shared" si="7"/>
        <v>7.3128665056918063</v>
      </c>
    </row>
    <row r="7" spans="1:32" x14ac:dyDescent="0.25">
      <c r="A7" s="2" t="s">
        <v>15</v>
      </c>
      <c r="B7" s="15">
        <v>3.3466966560454108E-3</v>
      </c>
      <c r="C7" s="15">
        <v>4.5215820597400312E-3</v>
      </c>
      <c r="D7" s="15">
        <f t="shared" si="0"/>
        <v>35.105822978378669</v>
      </c>
      <c r="F7" s="15">
        <v>0.15840333333333317</v>
      </c>
      <c r="G7" s="15">
        <v>0.20380999999999996</v>
      </c>
      <c r="H7" s="2">
        <f t="shared" si="1"/>
        <v>28.665221691462829</v>
      </c>
      <c r="J7" s="15">
        <v>7.9201666666666587E-3</v>
      </c>
      <c r="K7" s="15">
        <v>1.0190499999999998E-2</v>
      </c>
      <c r="L7" s="2">
        <f t="shared" si="2"/>
        <v>28.665221691462829</v>
      </c>
      <c r="N7" s="15">
        <v>2.0143333333333329E-2</v>
      </c>
      <c r="O7" s="15">
        <v>2.6216666666666666E-2</v>
      </c>
      <c r="P7" s="2">
        <f t="shared" si="3"/>
        <v>30.150587456561333</v>
      </c>
      <c r="R7" s="15">
        <v>3.5773124784899981E-3</v>
      </c>
      <c r="S7" s="15">
        <v>2.9327146387751139E-3</v>
      </c>
      <c r="T7" s="15">
        <f t="shared" si="4"/>
        <v>-18.019053230344927</v>
      </c>
      <c r="V7" s="15">
        <v>0.11788333333333363</v>
      </c>
      <c r="W7" s="15">
        <v>0.14266999999999977</v>
      </c>
      <c r="X7" s="2">
        <f t="shared" si="5"/>
        <v>21.026438569206341</v>
      </c>
      <c r="Z7" s="15">
        <v>5.8941666666666821E-3</v>
      </c>
      <c r="AA7" s="15">
        <v>7.1334999999999897E-3</v>
      </c>
      <c r="AB7" s="2">
        <f t="shared" si="6"/>
        <v>21.026438569206352</v>
      </c>
      <c r="AD7" s="15">
        <v>1.7010000000000119E-2</v>
      </c>
      <c r="AE7" s="15">
        <v>1.8163333333333382E-2</v>
      </c>
      <c r="AF7" s="2">
        <f t="shared" si="7"/>
        <v>6.7803252988433576</v>
      </c>
    </row>
    <row r="8" spans="1:32" x14ac:dyDescent="0.25">
      <c r="A8" s="2" t="s">
        <v>16</v>
      </c>
      <c r="B8" s="15">
        <v>3.0885948472598578E-3</v>
      </c>
      <c r="C8" s="15">
        <v>4.1833676025980317E-3</v>
      </c>
      <c r="D8" s="15">
        <f t="shared" si="0"/>
        <v>35.445657636495618</v>
      </c>
      <c r="F8" s="15">
        <v>0.21867666666666641</v>
      </c>
      <c r="G8" s="15">
        <v>0.29155999999998322</v>
      </c>
      <c r="H8" s="2">
        <f t="shared" si="1"/>
        <v>33.32926847856816</v>
      </c>
      <c r="J8" s="15">
        <v>1.0933833333333318E-2</v>
      </c>
      <c r="K8" s="15">
        <v>1.4577999999999161E-2</v>
      </c>
      <c r="L8" s="2">
        <f t="shared" si="2"/>
        <v>33.329268478568189</v>
      </c>
      <c r="N8" s="15">
        <v>1.8243333333333334E-2</v>
      </c>
      <c r="O8" s="15">
        <v>2.4016666666666648E-2</v>
      </c>
      <c r="P8" s="2">
        <f t="shared" si="3"/>
        <v>31.646263475241991</v>
      </c>
      <c r="R8" s="15">
        <v>4.0727062314441318E-3</v>
      </c>
      <c r="S8" s="15">
        <v>2.9756093862714993E-3</v>
      </c>
      <c r="T8" s="15">
        <f t="shared" si="4"/>
        <v>-26.937784923014579</v>
      </c>
      <c r="V8" s="15">
        <v>0.19068999999999958</v>
      </c>
      <c r="W8" s="15">
        <v>0.25585333333333388</v>
      </c>
      <c r="X8" s="2">
        <f t="shared" si="5"/>
        <v>34.172391490552435</v>
      </c>
      <c r="Z8" s="15">
        <v>9.5344999999999788E-3</v>
      </c>
      <c r="AA8" s="15">
        <v>1.2792666666666693E-2</v>
      </c>
      <c r="AB8" s="2">
        <f t="shared" si="6"/>
        <v>34.172391490552435</v>
      </c>
      <c r="AD8" s="15">
        <v>2.2289999999999994E-2</v>
      </c>
      <c r="AE8" s="15">
        <v>1.8473333333333342E-2</v>
      </c>
      <c r="AF8" s="2">
        <f t="shared" si="7"/>
        <v>-17.12277553461935</v>
      </c>
    </row>
    <row r="9" spans="1:32" x14ac:dyDescent="0.25">
      <c r="A9" s="2" t="s">
        <v>112</v>
      </c>
      <c r="B9" s="15">
        <v>3.3509200557295562E-3</v>
      </c>
      <c r="C9" s="15">
        <v>3.6838728584348362E-3</v>
      </c>
      <c r="D9" s="15">
        <f t="shared" si="0"/>
        <v>9.9361607310201876</v>
      </c>
      <c r="F9" s="15">
        <v>0.23257999999998355</v>
      </c>
      <c r="G9" s="15">
        <v>0.19922333333333339</v>
      </c>
      <c r="H9" s="2">
        <f t="shared" si="1"/>
        <v>-14.342018516919991</v>
      </c>
      <c r="J9" s="15">
        <v>1.1628999999999175E-2</v>
      </c>
      <c r="K9" s="15">
        <v>9.9611666666666685E-3</v>
      </c>
      <c r="L9" s="2">
        <f t="shared" si="2"/>
        <v>-14.34201851691998</v>
      </c>
      <c r="N9" s="15">
        <v>2.596E-2</v>
      </c>
      <c r="O9" s="15">
        <v>2.0973333333333326E-2</v>
      </c>
      <c r="P9" s="2">
        <f t="shared" si="3"/>
        <v>-19.209039548022627</v>
      </c>
      <c r="R9" s="15">
        <v>3.3213531971425215E-3</v>
      </c>
      <c r="S9" s="15">
        <v>2.7133340497597449E-3</v>
      </c>
      <c r="T9" s="15">
        <f t="shared" si="4"/>
        <v>-18.306368256946509</v>
      </c>
      <c r="V9" s="15">
        <v>0.24438666666666733</v>
      </c>
      <c r="W9" s="15">
        <v>0.22115666666666675</v>
      </c>
      <c r="X9" s="2">
        <f t="shared" si="5"/>
        <v>-9.5054285558406839</v>
      </c>
      <c r="Z9" s="15">
        <v>1.2219333333333367E-2</v>
      </c>
      <c r="AA9" s="15">
        <v>1.1057833333333336E-2</v>
      </c>
      <c r="AB9" s="2">
        <f t="shared" si="6"/>
        <v>-9.5054285558406963</v>
      </c>
      <c r="AD9" s="15">
        <v>2.3819999999999952E-2</v>
      </c>
      <c r="AE9" s="15">
        <v>1.696999999999993E-2</v>
      </c>
      <c r="AF9" s="2">
        <f t="shared" si="7"/>
        <v>-28.757346767422487</v>
      </c>
    </row>
    <row r="10" spans="1:32" x14ac:dyDescent="0.25">
      <c r="A10" s="2" t="s">
        <v>113</v>
      </c>
      <c r="B10" s="15">
        <v>5.2786915515344902E-3</v>
      </c>
      <c r="C10" s="15">
        <v>4.5610092202211594E-3</v>
      </c>
      <c r="D10" s="15">
        <f t="shared" si="0"/>
        <v>-13.595837610642434</v>
      </c>
      <c r="F10" s="15">
        <v>0.38959666666660636</v>
      </c>
      <c r="G10" s="15">
        <v>0.44671333333331059</v>
      </c>
      <c r="H10" s="2">
        <f t="shared" si="1"/>
        <v>14.660460818465182</v>
      </c>
      <c r="J10" s="15">
        <v>1.947983333333032E-2</v>
      </c>
      <c r="K10" s="15">
        <v>2.2335666666665532E-2</v>
      </c>
      <c r="L10" s="2">
        <f t="shared" si="2"/>
        <v>14.660460818465184</v>
      </c>
      <c r="N10" s="15">
        <v>3.4709999999999991E-2</v>
      </c>
      <c r="O10" s="15">
        <v>2.7033333333333326E-2</v>
      </c>
      <c r="P10" s="2">
        <f t="shared" si="3"/>
        <v>-22.116585037933355</v>
      </c>
      <c r="R10" s="15">
        <v>4.4586838802527966E-3</v>
      </c>
      <c r="S10" s="15">
        <v>4.2473606776802239E-3</v>
      </c>
      <c r="T10" s="15">
        <f t="shared" si="4"/>
        <v>-4.7395870227200581</v>
      </c>
      <c r="V10" s="15">
        <v>0.22223999999999924</v>
      </c>
      <c r="W10" s="15">
        <v>0.29329000000000022</v>
      </c>
      <c r="X10" s="2">
        <f t="shared" si="5"/>
        <v>31.969942404608176</v>
      </c>
      <c r="Z10" s="15">
        <v>1.1111999999999962E-2</v>
      </c>
      <c r="AA10" s="15">
        <v>1.4664500000000011E-2</v>
      </c>
      <c r="AB10" s="2">
        <f t="shared" si="6"/>
        <v>31.969942404608176</v>
      </c>
      <c r="AD10" s="15">
        <v>2.491333333333327E-2</v>
      </c>
      <c r="AE10" s="15">
        <v>2.3646666666666667E-2</v>
      </c>
      <c r="AF10" s="2">
        <f t="shared" si="7"/>
        <v>-5.0842922130048436</v>
      </c>
    </row>
    <row r="11" spans="1:32" x14ac:dyDescent="0.25">
      <c r="A11" s="2" t="s">
        <v>114</v>
      </c>
      <c r="B11" s="15">
        <v>5.4831250230908644E-3</v>
      </c>
      <c r="C11" s="15">
        <v>4.2143431663803736E-3</v>
      </c>
      <c r="D11" s="15">
        <f t="shared" si="0"/>
        <v>-23.139757918473876</v>
      </c>
      <c r="F11" s="15">
        <v>0.58756333333336852</v>
      </c>
      <c r="G11" s="15">
        <v>0.51561666666663664</v>
      </c>
      <c r="H11" s="2">
        <f t="shared" si="1"/>
        <v>-12.244921114897272</v>
      </c>
      <c r="J11" s="15">
        <v>2.9378166666668426E-2</v>
      </c>
      <c r="K11" s="15">
        <v>2.5780833333331834E-2</v>
      </c>
      <c r="L11" s="2">
        <f t="shared" si="2"/>
        <v>-12.244921114897265</v>
      </c>
      <c r="N11" s="15">
        <v>3.3620000000000004E-2</v>
      </c>
      <c r="O11" s="15">
        <v>2.5223333333333337E-2</v>
      </c>
      <c r="P11" s="2">
        <f t="shared" si="3"/>
        <v>-24.975213166765812</v>
      </c>
      <c r="R11" s="15">
        <v>5.3685168098463404E-3</v>
      </c>
      <c r="S11" s="15">
        <v>4.1119325580165371E-3</v>
      </c>
      <c r="T11" s="15">
        <f t="shared" si="4"/>
        <v>-23.406544048164577</v>
      </c>
      <c r="V11" s="15">
        <v>0.37257333333333431</v>
      </c>
      <c r="W11" s="15">
        <v>0.32397999999999949</v>
      </c>
      <c r="X11" s="2">
        <f t="shared" si="5"/>
        <v>-13.042622481480521</v>
      </c>
      <c r="Z11" s="15">
        <v>1.8628666666666713E-2</v>
      </c>
      <c r="AA11" s="15">
        <v>1.6198999999999974E-2</v>
      </c>
      <c r="AB11" s="2">
        <f t="shared" si="6"/>
        <v>-13.042622481480514</v>
      </c>
      <c r="AD11" s="15">
        <v>3.3216666666666672E-2</v>
      </c>
      <c r="AE11" s="15">
        <v>2.4160000000000108E-2</v>
      </c>
      <c r="AF11" s="2">
        <f t="shared" si="7"/>
        <v>-27.265429001504955</v>
      </c>
    </row>
    <row r="12" spans="1:32" x14ac:dyDescent="0.25">
      <c r="A12" s="2" t="s">
        <v>115</v>
      </c>
      <c r="B12" s="15">
        <v>3.5771167029077081E-3</v>
      </c>
      <c r="C12" s="15">
        <v>3.485352314839681E-3</v>
      </c>
      <c r="D12" s="15">
        <f t="shared" si="0"/>
        <v>-2.5653171447673278</v>
      </c>
      <c r="F12" s="15">
        <v>0.25875333333332523</v>
      </c>
      <c r="G12" s="15">
        <v>0.2383099999999968</v>
      </c>
      <c r="H12" s="2">
        <f t="shared" si="1"/>
        <v>-7.900703372579704</v>
      </c>
      <c r="J12" s="15">
        <v>1.2937666666666263E-2</v>
      </c>
      <c r="K12" s="15">
        <v>1.1915499999999841E-2</v>
      </c>
      <c r="L12" s="2">
        <f t="shared" si="2"/>
        <v>-7.9007033725797022</v>
      </c>
      <c r="N12" s="15">
        <v>2.5890000000000007E-2</v>
      </c>
      <c r="O12" s="15">
        <v>2.276333333333334E-2</v>
      </c>
      <c r="P12" s="2">
        <f t="shared" si="3"/>
        <v>-12.076734904081366</v>
      </c>
      <c r="R12" s="15">
        <v>4.0597041648879036E-3</v>
      </c>
      <c r="S12" s="15">
        <v>3.4609930021624346E-3</v>
      </c>
      <c r="T12" s="15">
        <f t="shared" si="4"/>
        <v>-14.747654962242812</v>
      </c>
      <c r="V12" s="15">
        <v>0.23281666666666498</v>
      </c>
      <c r="W12" s="15">
        <v>0.22236666666666602</v>
      </c>
      <c r="X12" s="2">
        <f t="shared" si="5"/>
        <v>-4.4885102727463817</v>
      </c>
      <c r="Z12" s="15">
        <v>1.1640833333333248E-2</v>
      </c>
      <c r="AA12" s="15">
        <v>1.11183333333333E-2</v>
      </c>
      <c r="AB12" s="2">
        <f t="shared" si="6"/>
        <v>-4.4885102727463853</v>
      </c>
      <c r="AD12" s="15">
        <v>2.3316666666666652E-2</v>
      </c>
      <c r="AE12" s="15">
        <v>2.3393333333333377E-2</v>
      </c>
      <c r="AF12" s="2">
        <f t="shared" si="7"/>
        <v>0.3288062902075406</v>
      </c>
    </row>
    <row r="13" spans="1:32" x14ac:dyDescent="0.25">
      <c r="A13" s="2" t="s">
        <v>117</v>
      </c>
      <c r="B13" s="15">
        <v>3.9492122618903181E-3</v>
      </c>
      <c r="C13" s="15">
        <v>4.9302381155068298E-3</v>
      </c>
      <c r="D13" s="15">
        <f t="shared" si="0"/>
        <v>24.841051545478003</v>
      </c>
      <c r="F13" s="15">
        <v>0.17017999999999986</v>
      </c>
      <c r="G13" s="15">
        <v>0.22148666666666625</v>
      </c>
      <c r="H13" s="2">
        <f t="shared" si="1"/>
        <v>30.148470247189113</v>
      </c>
      <c r="J13" s="15">
        <v>8.508999999999994E-3</v>
      </c>
      <c r="K13" s="15">
        <v>1.1074333333333311E-2</v>
      </c>
      <c r="L13" s="2">
        <f t="shared" si="2"/>
        <v>30.148470247189081</v>
      </c>
      <c r="N13" s="15">
        <v>2.134666666666667E-2</v>
      </c>
      <c r="O13" s="15">
        <v>2.8556666666666657E-2</v>
      </c>
      <c r="P13" s="2">
        <f t="shared" si="3"/>
        <v>33.775765146783193</v>
      </c>
      <c r="R13" s="15">
        <v>3.85256815444603E-3</v>
      </c>
      <c r="S13" s="15">
        <v>4.2757899594302136E-3</v>
      </c>
      <c r="T13" s="15">
        <f t="shared" si="4"/>
        <v>10.985446279406306</v>
      </c>
      <c r="V13" s="15">
        <v>0.21743666666666561</v>
      </c>
      <c r="W13" s="15">
        <v>0.23578000000000041</v>
      </c>
      <c r="X13" s="2">
        <f t="shared" si="5"/>
        <v>8.4361729852377927</v>
      </c>
      <c r="Z13" s="15">
        <v>1.087183333333328E-2</v>
      </c>
      <c r="AA13" s="15">
        <v>1.178900000000002E-2</v>
      </c>
      <c r="AB13" s="2">
        <f t="shared" si="6"/>
        <v>8.4361729852377927</v>
      </c>
      <c r="AD13" s="15">
        <v>2.0293333333333347E-2</v>
      </c>
      <c r="AE13" s="15">
        <v>2.106666666666664E-2</v>
      </c>
      <c r="AF13" s="2">
        <f t="shared" si="7"/>
        <v>3.8107752956633969</v>
      </c>
    </row>
    <row r="14" spans="1:32" x14ac:dyDescent="0.25">
      <c r="A14" s="2" t="s">
        <v>121</v>
      </c>
      <c r="B14" s="15">
        <v>3.0715163650323978E-3</v>
      </c>
      <c r="C14" s="15">
        <v>4.2302809216011907E-3</v>
      </c>
      <c r="D14" s="15">
        <f t="shared" si="0"/>
        <v>37.726139758222331</v>
      </c>
      <c r="F14" s="15">
        <v>0.23828333333333318</v>
      </c>
      <c r="G14" s="15">
        <v>0.26857999999999643</v>
      </c>
      <c r="H14" s="2">
        <f t="shared" si="1"/>
        <v>12.714555501152663</v>
      </c>
      <c r="J14" s="15">
        <v>1.1914166666666658E-2</v>
      </c>
      <c r="K14" s="15">
        <v>1.3428999999999821E-2</v>
      </c>
      <c r="L14" s="2">
        <f t="shared" si="2"/>
        <v>12.714555501152672</v>
      </c>
      <c r="N14" s="15">
        <v>1.9929999999999993E-2</v>
      </c>
      <c r="O14" s="15">
        <v>2.4993333333333329E-2</v>
      </c>
      <c r="P14" s="2">
        <f t="shared" si="3"/>
        <v>25.405586218431196</v>
      </c>
      <c r="R14" s="15">
        <v>3.5606678948221187E-3</v>
      </c>
      <c r="S14" s="15">
        <v>3.9432316323540677E-3</v>
      </c>
      <c r="T14" s="15">
        <f t="shared" si="4"/>
        <v>10.744156681623373</v>
      </c>
      <c r="V14" s="15">
        <v>0.1663766666666667</v>
      </c>
      <c r="W14" s="15">
        <v>0.20996666666666677</v>
      </c>
      <c r="X14" s="2">
        <f t="shared" si="5"/>
        <v>26.199587281870496</v>
      </c>
      <c r="Z14" s="15">
        <v>8.3188333333333343E-3</v>
      </c>
      <c r="AA14" s="15">
        <v>1.0498333333333339E-2</v>
      </c>
      <c r="AB14" s="2">
        <f t="shared" si="6"/>
        <v>26.1995872818705</v>
      </c>
      <c r="AD14" s="15">
        <v>2.0663333333333329E-2</v>
      </c>
      <c r="AE14" s="15">
        <v>2.297333333333329E-2</v>
      </c>
      <c r="AF14" s="2">
        <f t="shared" si="7"/>
        <v>11.17922245523453</v>
      </c>
    </row>
    <row r="15" spans="1:32" x14ac:dyDescent="0.25">
      <c r="A15" s="2" t="s">
        <v>122</v>
      </c>
      <c r="B15" s="15">
        <v>5.4016538831679018E-3</v>
      </c>
      <c r="C15" s="15">
        <v>5.26663004243412E-3</v>
      </c>
      <c r="D15" s="15">
        <f t="shared" si="0"/>
        <v>-2.4996759076794923</v>
      </c>
      <c r="F15" s="15">
        <v>0.34845999999995142</v>
      </c>
      <c r="G15" s="15">
        <v>0.35563333333331765</v>
      </c>
      <c r="H15" s="2">
        <f t="shared" si="1"/>
        <v>2.0585815684346058</v>
      </c>
      <c r="J15" s="15">
        <v>1.7422999999997569E-2</v>
      </c>
      <c r="K15" s="15">
        <v>1.778166666666588E-2</v>
      </c>
      <c r="L15" s="2">
        <f t="shared" si="2"/>
        <v>2.0585815684346058</v>
      </c>
      <c r="N15" s="15">
        <v>3.2436666666666662E-2</v>
      </c>
      <c r="O15" s="15">
        <v>3.3860000000000001E-2</v>
      </c>
      <c r="P15" s="2">
        <f t="shared" si="3"/>
        <v>4.3880382283424284</v>
      </c>
      <c r="R15" s="15">
        <v>4.0974250482753759E-3</v>
      </c>
      <c r="S15" s="15">
        <v>4.1474812504032404E-3</v>
      </c>
      <c r="T15" s="15">
        <f t="shared" si="4"/>
        <v>1.2216502202751305</v>
      </c>
      <c r="V15" s="15">
        <v>0.29900000000000126</v>
      </c>
      <c r="W15" s="15">
        <v>0.22837000000000085</v>
      </c>
      <c r="X15" s="2">
        <f t="shared" si="5"/>
        <v>-23.622073578595355</v>
      </c>
      <c r="Z15" s="15">
        <v>1.4950000000000066E-2</v>
      </c>
      <c r="AA15" s="15">
        <v>1.1418500000000041E-2</v>
      </c>
      <c r="AB15" s="2">
        <f t="shared" si="6"/>
        <v>-23.622073578595376</v>
      </c>
      <c r="AD15" s="15">
        <v>2.4430000000000025E-2</v>
      </c>
      <c r="AE15" s="15">
        <v>2.5963333333333411E-2</v>
      </c>
      <c r="AF15" s="2">
        <f t="shared" si="7"/>
        <v>6.2764360758632218</v>
      </c>
    </row>
    <row r="16" spans="1:32" x14ac:dyDescent="0.25">
      <c r="A16" s="61" t="s">
        <v>123</v>
      </c>
      <c r="B16" s="89" t="s">
        <v>184</v>
      </c>
      <c r="C16" s="102"/>
      <c r="D16" s="103"/>
      <c r="F16" s="89" t="s">
        <v>184</v>
      </c>
      <c r="G16" s="102"/>
      <c r="H16" s="103"/>
      <c r="J16" s="89" t="s">
        <v>184</v>
      </c>
      <c r="K16" s="102"/>
      <c r="L16" s="103"/>
      <c r="N16" s="89" t="s">
        <v>184</v>
      </c>
      <c r="O16" s="102"/>
      <c r="P16" s="103"/>
      <c r="R16" s="89" t="s">
        <v>184</v>
      </c>
      <c r="S16" s="102"/>
      <c r="T16" s="103"/>
      <c r="V16" s="89" t="s">
        <v>184</v>
      </c>
      <c r="W16" s="102"/>
      <c r="X16" s="103"/>
      <c r="Z16" s="89" t="s">
        <v>184</v>
      </c>
      <c r="AA16" s="102"/>
      <c r="AB16" s="103"/>
      <c r="AD16" s="89" t="s">
        <v>184</v>
      </c>
      <c r="AE16" s="102"/>
      <c r="AF16" s="103"/>
    </row>
    <row r="17" spans="1:32" x14ac:dyDescent="0.25">
      <c r="A17" s="1" t="s">
        <v>17</v>
      </c>
      <c r="B17">
        <f>AVERAGE(B2:B16)</f>
        <v>3.9372453838151626E-3</v>
      </c>
      <c r="C17" s="2">
        <f t="shared" ref="C17:AF17" si="8">AVERAGE(C2:C16)</f>
        <v>4.2289020101901765E-3</v>
      </c>
      <c r="D17" s="50">
        <f t="shared" si="8"/>
        <v>11.59146624858047</v>
      </c>
      <c r="E17" s="2"/>
      <c r="F17" s="2">
        <f t="shared" si="8"/>
        <v>0.29033107142856102</v>
      </c>
      <c r="G17" s="2">
        <f t="shared" si="8"/>
        <v>0.29494214285713144</v>
      </c>
      <c r="H17" s="50">
        <f t="shared" si="8"/>
        <v>4.7881463580377881</v>
      </c>
      <c r="I17" s="2"/>
      <c r="J17" s="2">
        <f t="shared" si="8"/>
        <v>1.4516553571428054E-2</v>
      </c>
      <c r="K17" s="2">
        <f t="shared" si="8"/>
        <v>1.4747107142856573E-2</v>
      </c>
      <c r="L17" s="50">
        <f t="shared" si="8"/>
        <v>4.7881463580377872</v>
      </c>
      <c r="M17" s="2"/>
      <c r="N17" s="2">
        <f t="shared" si="8"/>
        <v>2.5340000000000001E-2</v>
      </c>
      <c r="O17" s="2">
        <f t="shared" si="8"/>
        <v>2.5752619047619048E-2</v>
      </c>
      <c r="P17" s="50">
        <f t="shared" si="8"/>
        <v>6.9339061441138856</v>
      </c>
      <c r="Q17" s="2"/>
      <c r="R17" s="2">
        <f t="shared" si="8"/>
        <v>4.1568968355208949E-3</v>
      </c>
      <c r="S17" s="2">
        <f t="shared" si="8"/>
        <v>3.9481707500018002E-3</v>
      </c>
      <c r="T17" s="50">
        <f t="shared" si="8"/>
        <v>-4.694119941603824</v>
      </c>
      <c r="U17" s="2"/>
      <c r="V17" s="2">
        <f t="shared" si="8"/>
        <v>0.232547857142857</v>
      </c>
      <c r="W17" s="2">
        <f t="shared" si="8"/>
        <v>0.2379342857142859</v>
      </c>
      <c r="X17" s="50">
        <f t="shared" si="8"/>
        <v>4.7277648168347683</v>
      </c>
      <c r="Y17" s="2"/>
      <c r="Z17" s="2">
        <f t="shared" si="8"/>
        <v>1.1627392857142847E-2</v>
      </c>
      <c r="AA17" s="2">
        <f t="shared" si="8"/>
        <v>1.1896714285714293E-2</v>
      </c>
      <c r="AB17" s="50">
        <f t="shared" si="8"/>
        <v>4.7277648168347639</v>
      </c>
      <c r="AC17" s="2"/>
      <c r="AD17" s="2">
        <f t="shared" si="8"/>
        <v>2.3692142857142849E-2</v>
      </c>
      <c r="AE17" s="2">
        <f t="shared" si="8"/>
        <v>2.287238095238096E-2</v>
      </c>
      <c r="AF17" s="50">
        <f t="shared" si="8"/>
        <v>-2.5966054816471171</v>
      </c>
    </row>
    <row r="18" spans="1:32" x14ac:dyDescent="0.25">
      <c r="A18" s="1" t="s">
        <v>153</v>
      </c>
      <c r="B18">
        <f>STDEV(B2:B16)</f>
        <v>9.4478281940916988E-4</v>
      </c>
      <c r="C18" s="2">
        <f t="shared" ref="C18:AF18" si="9">STDEV(C2:C16)</f>
        <v>5.4312896935842668E-4</v>
      </c>
      <c r="D18" s="2">
        <f t="shared" si="9"/>
        <v>22.566485080308361</v>
      </c>
      <c r="E18" s="2"/>
      <c r="F18" s="2">
        <f t="shared" si="9"/>
        <v>0.11703723122942117</v>
      </c>
      <c r="G18" s="2">
        <f t="shared" si="9"/>
        <v>9.8543707102902348E-2</v>
      </c>
      <c r="H18" s="2">
        <f t="shared" si="9"/>
        <v>16.989103143333395</v>
      </c>
      <c r="I18" s="2"/>
      <c r="J18" s="2">
        <f t="shared" si="9"/>
        <v>5.8518615614710553E-3</v>
      </c>
      <c r="K18" s="2">
        <f t="shared" si="9"/>
        <v>4.9271853551451153E-3</v>
      </c>
      <c r="L18" s="2">
        <f t="shared" si="9"/>
        <v>16.989103143333395</v>
      </c>
      <c r="M18" s="2"/>
      <c r="N18" s="2">
        <f t="shared" si="9"/>
        <v>6.1915277100741068E-3</v>
      </c>
      <c r="O18" s="2">
        <f t="shared" si="9"/>
        <v>3.6073991337774807E-3</v>
      </c>
      <c r="P18" s="2">
        <f t="shared" si="9"/>
        <v>27.70578139435554</v>
      </c>
      <c r="Q18" s="2"/>
      <c r="R18" s="2">
        <f t="shared" si="9"/>
        <v>7.8214727301136543E-4</v>
      </c>
      <c r="S18" s="2">
        <f t="shared" si="9"/>
        <v>1.0126847590270981E-3</v>
      </c>
      <c r="T18" s="2">
        <f t="shared" si="9"/>
        <v>17.287094382956408</v>
      </c>
      <c r="U18" s="2"/>
      <c r="V18" s="2">
        <f t="shared" si="9"/>
        <v>6.8314223727061835E-2</v>
      </c>
      <c r="W18" s="2">
        <f t="shared" si="9"/>
        <v>5.8422797511833116E-2</v>
      </c>
      <c r="X18" s="2">
        <f t="shared" si="9"/>
        <v>19.151518793302554</v>
      </c>
      <c r="Y18" s="2"/>
      <c r="Z18" s="2">
        <f t="shared" si="9"/>
        <v>3.4157111863531023E-3</v>
      </c>
      <c r="AA18" s="2">
        <f t="shared" si="9"/>
        <v>2.9211398755916588E-3</v>
      </c>
      <c r="AB18" s="2">
        <f t="shared" si="9"/>
        <v>19.151518793302561</v>
      </c>
      <c r="AC18" s="2"/>
      <c r="AD18" s="2">
        <f t="shared" si="9"/>
        <v>4.6681875922915846E-3</v>
      </c>
      <c r="AE18" s="2">
        <f t="shared" si="9"/>
        <v>5.0729235032033228E-3</v>
      </c>
      <c r="AF18" s="2">
        <f t="shared" si="9"/>
        <v>16.074118504679557</v>
      </c>
    </row>
    <row r="20" spans="1:32" x14ac:dyDescent="0.25">
      <c r="A20" s="20"/>
      <c r="B20" s="35"/>
      <c r="C20" s="35" t="s">
        <v>185</v>
      </c>
      <c r="G20" s="35" t="s">
        <v>283</v>
      </c>
      <c r="K20" s="35" t="s">
        <v>283</v>
      </c>
      <c r="O20" s="35" t="s">
        <v>283</v>
      </c>
      <c r="S20" s="35" t="s">
        <v>283</v>
      </c>
      <c r="W20" s="35" t="s">
        <v>283</v>
      </c>
      <c r="AA20" s="35" t="s">
        <v>283</v>
      </c>
      <c r="AE20" s="35" t="s">
        <v>283</v>
      </c>
    </row>
    <row r="21" spans="1:32" x14ac:dyDescent="0.25">
      <c r="A21" s="20"/>
      <c r="B21" s="35"/>
      <c r="C21" s="157" t="s">
        <v>384</v>
      </c>
      <c r="G21" s="159" t="s">
        <v>385</v>
      </c>
      <c r="K21" s="159" t="s">
        <v>385</v>
      </c>
      <c r="O21" s="159" t="s">
        <v>386</v>
      </c>
      <c r="S21" s="159" t="s">
        <v>387</v>
      </c>
      <c r="W21" s="159" t="s">
        <v>388</v>
      </c>
      <c r="AA21" s="159" t="s">
        <v>388</v>
      </c>
      <c r="AE21" s="159" t="s">
        <v>389</v>
      </c>
    </row>
    <row r="22" spans="1:32" x14ac:dyDescent="0.25">
      <c r="A22" s="20" t="s">
        <v>281</v>
      </c>
      <c r="B22" s="26">
        <v>-2.92E-4</v>
      </c>
      <c r="C22" s="26">
        <v>8.1700000000000002E-4</v>
      </c>
      <c r="F22">
        <v>-4.6109999999999996E-3</v>
      </c>
      <c r="G22">
        <v>4.4006000000000003E-2</v>
      </c>
      <c r="J22">
        <v>-2.31E-4</v>
      </c>
      <c r="K22">
        <v>2.2000000000000001E-3</v>
      </c>
      <c r="N22">
        <v>-4.1300000000000001E-4</v>
      </c>
      <c r="O22">
        <v>5.7999999999999996E-3</v>
      </c>
      <c r="R22">
        <v>2.0900000000000001E-4</v>
      </c>
      <c r="S22">
        <v>7.6199999999999998E-4</v>
      </c>
      <c r="V22">
        <v>-5.3860000000000002E-3</v>
      </c>
      <c r="W22">
        <v>4.1682999999999998E-2</v>
      </c>
      <c r="Z22">
        <v>-2.6899999999999998E-4</v>
      </c>
      <c r="AA22">
        <v>2.0839999999999999E-3</v>
      </c>
      <c r="AD22">
        <v>8.1999999999999998E-4</v>
      </c>
      <c r="AE22">
        <v>4.1859999999999996E-3</v>
      </c>
    </row>
    <row r="23" spans="1:32" x14ac:dyDescent="0.25">
      <c r="A23" s="20"/>
      <c r="B23" s="35" t="s">
        <v>282</v>
      </c>
      <c r="C23" s="49">
        <f>B22/C22</f>
        <v>-0.35740514075887392</v>
      </c>
      <c r="F23" s="35" t="s">
        <v>282</v>
      </c>
      <c r="G23" s="56">
        <f>F22/G22</f>
        <v>-0.10478116620460845</v>
      </c>
      <c r="J23" s="35" t="s">
        <v>282</v>
      </c>
      <c r="K23" s="56">
        <f>J22/K22</f>
        <v>-0.105</v>
      </c>
      <c r="N23" s="35" t="s">
        <v>282</v>
      </c>
      <c r="O23" s="56">
        <f>N22/O22</f>
        <v>-7.1206896551724144E-2</v>
      </c>
      <c r="R23" s="35" t="s">
        <v>282</v>
      </c>
      <c r="S23" s="56">
        <f>R22/S22</f>
        <v>0.27427821522309714</v>
      </c>
      <c r="V23" s="35" t="s">
        <v>282</v>
      </c>
      <c r="W23" s="56">
        <f>V22/W22</f>
        <v>-0.12921334836743997</v>
      </c>
      <c r="Z23" s="35" t="s">
        <v>282</v>
      </c>
      <c r="AA23" s="56">
        <f>Z22/AA22</f>
        <v>-0.12907869481765835</v>
      </c>
      <c r="AD23" s="35" t="s">
        <v>282</v>
      </c>
      <c r="AE23" s="56">
        <f>AD22/AE22</f>
        <v>0.19589106545628285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R34"/>
  <sheetViews>
    <sheetView topLeftCell="A16" workbookViewId="0">
      <pane xSplit="1" topLeftCell="N1" activePane="topRight" state="frozen"/>
      <selection pane="topRight" activeCell="T21" sqref="T21"/>
    </sheetView>
  </sheetViews>
  <sheetFormatPr defaultRowHeight="15" x14ac:dyDescent="0.25"/>
  <cols>
    <col min="35" max="35" width="9.140625" style="4"/>
    <col min="44" max="44" width="9.140625" style="135"/>
  </cols>
  <sheetData>
    <row r="1" spans="1:32" x14ac:dyDescent="0.25">
      <c r="A1" s="2" t="s">
        <v>296</v>
      </c>
      <c r="B1" s="2" t="s">
        <v>330</v>
      </c>
      <c r="C1" s="2" t="s">
        <v>331</v>
      </c>
      <c r="D1" s="2" t="s">
        <v>23</v>
      </c>
      <c r="E1" s="2"/>
      <c r="F1" s="2" t="s">
        <v>332</v>
      </c>
      <c r="G1" s="2" t="s">
        <v>333</v>
      </c>
      <c r="H1" s="2" t="s">
        <v>23</v>
      </c>
      <c r="I1" s="2"/>
      <c r="J1" s="2" t="s">
        <v>334</v>
      </c>
      <c r="K1" s="2" t="s">
        <v>335</v>
      </c>
      <c r="L1" s="2" t="s">
        <v>23</v>
      </c>
      <c r="M1" s="2"/>
      <c r="N1" s="2" t="s">
        <v>336</v>
      </c>
      <c r="O1" s="2" t="s">
        <v>337</v>
      </c>
      <c r="P1" s="2" t="s">
        <v>23</v>
      </c>
      <c r="Q1" s="2"/>
      <c r="R1" s="2" t="s">
        <v>338</v>
      </c>
      <c r="S1" s="2" t="s">
        <v>339</v>
      </c>
      <c r="T1" s="2" t="s">
        <v>23</v>
      </c>
      <c r="U1" s="2"/>
      <c r="V1" s="2" t="s">
        <v>340</v>
      </c>
      <c r="W1" s="2" t="s">
        <v>341</v>
      </c>
      <c r="X1" s="2" t="s">
        <v>23</v>
      </c>
      <c r="Y1" s="2"/>
      <c r="Z1" s="2" t="s">
        <v>342</v>
      </c>
      <c r="AA1" s="2" t="s">
        <v>343</v>
      </c>
      <c r="AB1" s="2" t="s">
        <v>23</v>
      </c>
      <c r="AC1" s="2"/>
      <c r="AD1" s="2" t="s">
        <v>344</v>
      </c>
      <c r="AE1" s="2" t="s">
        <v>345</v>
      </c>
      <c r="AF1" s="2" t="s">
        <v>23</v>
      </c>
    </row>
    <row r="2" spans="1:32" x14ac:dyDescent="0.25">
      <c r="A2" s="2" t="s">
        <v>11</v>
      </c>
      <c r="B2" s="15">
        <v>6.3694137083200901E-3</v>
      </c>
      <c r="C2" s="15">
        <v>8.6081713363419746E-3</v>
      </c>
      <c r="D2" s="15">
        <f>(C2-B2)/B2*100</f>
        <v>35.148566736958728</v>
      </c>
      <c r="F2" s="15">
        <v>0.43532666666663733</v>
      </c>
      <c r="G2" s="15">
        <v>0.52562999999987425</v>
      </c>
      <c r="H2">
        <f>(G2-F2)/F2*100</f>
        <v>20.74380924667522</v>
      </c>
      <c r="J2" s="15">
        <v>2.1766333333331871E-2</v>
      </c>
      <c r="K2" s="15">
        <v>2.6281499999993713E-2</v>
      </c>
      <c r="L2">
        <f>(K2-J2)/J2*100</f>
        <v>20.743809246675195</v>
      </c>
      <c r="N2" s="15">
        <v>3.6406666666666677E-2</v>
      </c>
      <c r="O2" s="15">
        <v>4.8366666666666669E-2</v>
      </c>
      <c r="P2">
        <f>(O2-N2)/N2*100</f>
        <v>32.851126167368584</v>
      </c>
      <c r="R2" s="15">
        <v>4.3883828152477692E-3</v>
      </c>
      <c r="S2" s="15">
        <v>6.0017587025347633E-3</v>
      </c>
      <c r="T2" s="15">
        <f>(S2-R2)/R2*100</f>
        <v>36.764702515951825</v>
      </c>
      <c r="V2" s="15">
        <v>0.34055666666666701</v>
      </c>
      <c r="W2" s="15">
        <v>0.43122666666666598</v>
      </c>
      <c r="X2">
        <f>(W2-V2)/V2*100</f>
        <v>26.624056691494967</v>
      </c>
      <c r="Z2" s="15">
        <v>1.702783333333335E-2</v>
      </c>
      <c r="AA2" s="15">
        <v>2.1561333333333297E-2</v>
      </c>
      <c r="AB2">
        <f>(AA2-Z2)/Z2*100</f>
        <v>26.624056691494964</v>
      </c>
      <c r="AC2" s="2" t="s">
        <v>11</v>
      </c>
      <c r="AD2" s="15">
        <v>3.0603333333333243E-2</v>
      </c>
      <c r="AE2" s="15">
        <v>3.2863333333333244E-2</v>
      </c>
      <c r="AF2">
        <f>(AE2-AD2)/AD2*100</f>
        <v>7.384816468794277</v>
      </c>
    </row>
    <row r="3" spans="1:32" x14ac:dyDescent="0.25">
      <c r="A3" s="2" t="s">
        <v>10</v>
      </c>
      <c r="B3" s="15">
        <v>6.9834143066536021E-3</v>
      </c>
      <c r="C3" s="15">
        <v>4.9482877951129746E-3</v>
      </c>
      <c r="D3" s="15">
        <f t="shared" ref="D3:D15" si="0">(C3-B3)/B3*100</f>
        <v>-29.14228516560468</v>
      </c>
      <c r="F3" s="15">
        <v>0.86948999999996479</v>
      </c>
      <c r="G3" s="15">
        <v>0.5194599999998748</v>
      </c>
      <c r="H3" s="2">
        <f t="shared" ref="H3:H15" si="1">(G3-F3)/F3*100</f>
        <v>-40.256932224649411</v>
      </c>
      <c r="J3" s="15">
        <v>4.3474499999998237E-2</v>
      </c>
      <c r="K3" s="15">
        <v>2.5972999999993737E-2</v>
      </c>
      <c r="L3" s="2">
        <f t="shared" ref="L3:L15" si="2">(K3-J3)/J3*100</f>
        <v>-40.256932224649411</v>
      </c>
      <c r="N3" s="15">
        <v>4.429000000000001E-2</v>
      </c>
      <c r="O3" s="15">
        <v>3.2199999999999986E-2</v>
      </c>
      <c r="P3" s="2">
        <f t="shared" ref="P3:P15" si="3">(O3-N3)/N3*100</f>
        <v>-27.297358320162612</v>
      </c>
      <c r="R3" s="15">
        <v>4.9774088551906856E-3</v>
      </c>
      <c r="S3" s="15">
        <v>3.5754270860066787E-3</v>
      </c>
      <c r="T3" s="15">
        <f t="shared" ref="T3:T15" si="4">(S3-R3)/R3*100</f>
        <v>-28.166899886513274</v>
      </c>
      <c r="V3" s="15">
        <v>0.66720999999999997</v>
      </c>
      <c r="W3" s="15">
        <v>0.47527999999999954</v>
      </c>
      <c r="X3" s="2">
        <f t="shared" ref="X3:X15" si="5">(W3-V3)/V3*100</f>
        <v>-28.766055664633388</v>
      </c>
      <c r="Z3" s="15">
        <v>3.3360500000000001E-2</v>
      </c>
      <c r="AA3" s="15">
        <v>2.376399999999998E-2</v>
      </c>
      <c r="AB3" s="2">
        <f t="shared" ref="AB3:AB15" si="6">(AA3-Z3)/Z3*100</f>
        <v>-28.766055664633388</v>
      </c>
      <c r="AC3" s="2" t="s">
        <v>10</v>
      </c>
      <c r="AD3" s="15">
        <v>3.7234999999999907E-2</v>
      </c>
      <c r="AE3" s="15">
        <v>2.4699999999999944E-2</v>
      </c>
      <c r="AF3" s="2">
        <f t="shared" ref="AF3:AF15" si="7">(AE3-AD3)/AD3*100</f>
        <v>-33.664562911239408</v>
      </c>
    </row>
    <row r="4" spans="1:32" x14ac:dyDescent="0.25">
      <c r="A4" s="2" t="s">
        <v>12</v>
      </c>
      <c r="B4" s="15">
        <v>4.6207072999421448E-3</v>
      </c>
      <c r="C4" s="15">
        <v>5.633823737281207E-3</v>
      </c>
      <c r="D4" s="15">
        <f t="shared" si="0"/>
        <v>21.925570514967422</v>
      </c>
      <c r="F4" s="15">
        <v>0.50677666666663812</v>
      </c>
      <c r="G4" s="15">
        <v>0.54959999999988318</v>
      </c>
      <c r="H4" s="2">
        <f t="shared" si="1"/>
        <v>8.4501391145174019</v>
      </c>
      <c r="J4" s="15">
        <v>2.5338833333331909E-2</v>
      </c>
      <c r="K4" s="15">
        <v>2.7479999999994158E-2</v>
      </c>
      <c r="L4" s="2">
        <f t="shared" si="2"/>
        <v>8.4501391145173876</v>
      </c>
      <c r="N4" s="15">
        <v>3.681333333333333E-2</v>
      </c>
      <c r="O4" s="15">
        <v>4.0166666666666656E-2</v>
      </c>
      <c r="P4" s="2">
        <f t="shared" si="3"/>
        <v>9.1090184715682554</v>
      </c>
      <c r="R4" s="15">
        <v>4.727759411379275E-3</v>
      </c>
      <c r="S4" s="15">
        <v>7.89912904818337E-3</v>
      </c>
      <c r="T4" s="15">
        <f t="shared" si="4"/>
        <v>67.079759371234175</v>
      </c>
      <c r="V4" s="15">
        <v>0.4562566666666672</v>
      </c>
      <c r="W4" s="15">
        <v>0.47519666666666621</v>
      </c>
      <c r="X4" s="2">
        <f t="shared" si="5"/>
        <v>4.1511722203143675</v>
      </c>
      <c r="Z4" s="15">
        <v>2.2812833333333355E-2</v>
      </c>
      <c r="AA4" s="15">
        <v>2.375983333333331E-2</v>
      </c>
      <c r="AB4" s="2">
        <f t="shared" si="6"/>
        <v>4.151172220314387</v>
      </c>
      <c r="AC4" s="2" t="s">
        <v>12</v>
      </c>
      <c r="AD4" s="15">
        <v>5.966666666666668E-2</v>
      </c>
      <c r="AE4" s="15">
        <v>4.4396666666666716E-2</v>
      </c>
      <c r="AF4" s="2">
        <f t="shared" si="7"/>
        <v>-25.592178770949651</v>
      </c>
    </row>
    <row r="5" spans="1:32" x14ac:dyDescent="0.25">
      <c r="A5" s="2" t="s">
        <v>13</v>
      </c>
      <c r="B5" s="15">
        <v>5.8766666382388168E-3</v>
      </c>
      <c r="C5" s="15">
        <v>4.6323608067773562E-3</v>
      </c>
      <c r="D5" s="15">
        <f t="shared" si="0"/>
        <v>-21.173667115383079</v>
      </c>
      <c r="F5" s="15">
        <v>0.58953499999996817</v>
      </c>
      <c r="G5" s="15">
        <v>0.58465000000001888</v>
      </c>
      <c r="H5" s="2">
        <f t="shared" si="1"/>
        <v>-0.82861916594427032</v>
      </c>
      <c r="J5" s="15">
        <v>2.9476749999998407E-2</v>
      </c>
      <c r="K5" s="15">
        <v>2.9232500000000942E-2</v>
      </c>
      <c r="L5" s="2">
        <f t="shared" si="2"/>
        <v>-0.82861916594427276</v>
      </c>
      <c r="N5" s="15">
        <v>3.6820000000000006E-2</v>
      </c>
      <c r="O5" s="15">
        <v>2.7793333333333347E-2</v>
      </c>
      <c r="P5" s="2">
        <f t="shared" si="3"/>
        <v>-24.515661778019165</v>
      </c>
      <c r="R5" s="15">
        <v>4.9857699749952002E-3</v>
      </c>
      <c r="S5" s="15">
        <v>4.110904358011357E-3</v>
      </c>
      <c r="T5" s="15">
        <f t="shared" si="4"/>
        <v>-17.547251906355456</v>
      </c>
      <c r="V5" s="15">
        <v>0.63702499999999895</v>
      </c>
      <c r="W5" s="15">
        <v>0.56569333333333305</v>
      </c>
      <c r="X5" s="2">
        <f t="shared" si="5"/>
        <v>-11.197624373716263</v>
      </c>
      <c r="Z5" s="15">
        <v>3.1851249999999949E-2</v>
      </c>
      <c r="AA5" s="15">
        <v>2.8284666666666652E-2</v>
      </c>
      <c r="AB5" s="2">
        <f t="shared" si="6"/>
        <v>-11.197624373716266</v>
      </c>
      <c r="AC5" s="2" t="s">
        <v>13</v>
      </c>
      <c r="AD5" s="15">
        <v>3.2025000000000081E-2</v>
      </c>
      <c r="AE5" s="15">
        <v>2.8086666666666742E-2</v>
      </c>
      <c r="AF5" s="2">
        <f t="shared" si="7"/>
        <v>-12.297684100962776</v>
      </c>
    </row>
    <row r="6" spans="1:32" x14ac:dyDescent="0.25">
      <c r="A6" s="2" t="s">
        <v>14</v>
      </c>
      <c r="B6" s="15">
        <v>9.1594780322651337E-3</v>
      </c>
      <c r="C6" s="15">
        <v>6.0196648383543617E-3</v>
      </c>
      <c r="D6" s="15">
        <f t="shared" si="0"/>
        <v>-34.279389970154206</v>
      </c>
      <c r="F6" s="15">
        <v>0.86322499999997648</v>
      </c>
      <c r="G6" s="15">
        <v>0.78260000000010788</v>
      </c>
      <c r="H6" s="2">
        <f t="shared" si="1"/>
        <v>-9.3399750933847834</v>
      </c>
      <c r="J6" s="15">
        <v>4.3161249999998819E-2</v>
      </c>
      <c r="K6" s="15">
        <v>3.913000000000539E-2</v>
      </c>
      <c r="L6" s="2">
        <f t="shared" si="2"/>
        <v>-9.3399750933847816</v>
      </c>
      <c r="N6" s="15">
        <v>4.7639999999999995E-2</v>
      </c>
      <c r="O6" s="15">
        <v>3.7840000000000006E-2</v>
      </c>
      <c r="P6" s="2">
        <f t="shared" si="3"/>
        <v>-20.570948782535663</v>
      </c>
      <c r="R6" s="15">
        <v>5.7758821221963802E-3</v>
      </c>
      <c r="S6" s="15">
        <v>5.9756726112690818E-3</v>
      </c>
      <c r="T6" s="15">
        <f t="shared" si="4"/>
        <v>3.4590472043208496</v>
      </c>
      <c r="V6" s="15">
        <v>0.61091500000000043</v>
      </c>
      <c r="W6" s="15">
        <v>0.48623000000000133</v>
      </c>
      <c r="X6" s="2">
        <f t="shared" si="5"/>
        <v>-20.409549610011052</v>
      </c>
      <c r="Z6" s="15">
        <v>3.0545750000000021E-2</v>
      </c>
      <c r="AA6" s="15">
        <v>2.4311500000000066E-2</v>
      </c>
      <c r="AB6" s="2">
        <f t="shared" si="6"/>
        <v>-20.409549610011052</v>
      </c>
      <c r="AC6" s="2" t="s">
        <v>14</v>
      </c>
      <c r="AD6" s="15">
        <v>5.3709999999999924E-2</v>
      </c>
      <c r="AE6" s="15">
        <v>3.7743333333333316E-2</v>
      </c>
      <c r="AF6" s="2">
        <f t="shared" si="7"/>
        <v>-29.727549183888719</v>
      </c>
    </row>
    <row r="7" spans="1:32" x14ac:dyDescent="0.25">
      <c r="A7" s="2" t="s">
        <v>15</v>
      </c>
      <c r="B7" s="15">
        <v>6.5279462671288969E-3</v>
      </c>
      <c r="C7" s="15">
        <v>5.9506550274580731E-3</v>
      </c>
      <c r="D7" s="15">
        <f t="shared" si="0"/>
        <v>-8.8433822223344727</v>
      </c>
      <c r="F7" s="15">
        <v>0.95509499999995484</v>
      </c>
      <c r="G7" s="15">
        <v>0.9065400000002195</v>
      </c>
      <c r="H7" s="2">
        <f t="shared" si="1"/>
        <v>-5.0837874766109792</v>
      </c>
      <c r="J7" s="15">
        <v>4.7754749999997737E-2</v>
      </c>
      <c r="K7" s="15">
        <v>4.532700000001097E-2</v>
      </c>
      <c r="L7" s="2">
        <f t="shared" si="2"/>
        <v>-5.0837874766109801</v>
      </c>
      <c r="N7" s="15">
        <v>3.5879999999999995E-2</v>
      </c>
      <c r="O7" s="15">
        <v>3.0544999999999989E-2</v>
      </c>
      <c r="P7" s="2">
        <f t="shared" si="3"/>
        <v>-14.869007803790431</v>
      </c>
      <c r="R7" s="15">
        <v>5.4964207618665431E-3</v>
      </c>
      <c r="S7" s="15">
        <v>4.5740627680750569E-3</v>
      </c>
      <c r="T7" s="15">
        <f t="shared" si="4"/>
        <v>-16.781065965522266</v>
      </c>
      <c r="V7" s="15">
        <v>0.78448500000000077</v>
      </c>
      <c r="W7" s="15">
        <v>0.51157999999999881</v>
      </c>
      <c r="X7" s="2">
        <f t="shared" si="5"/>
        <v>-34.787790716202565</v>
      </c>
      <c r="Z7" s="15">
        <v>3.9224250000000037E-2</v>
      </c>
      <c r="AA7" s="15">
        <v>2.5578999999999942E-2</v>
      </c>
      <c r="AB7" s="2">
        <f t="shared" si="6"/>
        <v>-34.787790716202558</v>
      </c>
      <c r="AC7" s="2" t="s">
        <v>15</v>
      </c>
      <c r="AD7" s="15">
        <v>4.3930000000000025E-2</v>
      </c>
      <c r="AE7" s="15">
        <v>2.4584999999999968E-2</v>
      </c>
      <c r="AF7" s="2">
        <f t="shared" si="7"/>
        <v>-44.035966310038802</v>
      </c>
    </row>
    <row r="8" spans="1:32" x14ac:dyDescent="0.25">
      <c r="A8" s="2" t="s">
        <v>16</v>
      </c>
      <c r="B8" s="15">
        <v>5.0568158207265112E-3</v>
      </c>
      <c r="C8" s="15">
        <v>5.6068997361665924E-3</v>
      </c>
      <c r="D8" s="15">
        <f t="shared" si="0"/>
        <v>10.878069024887894</v>
      </c>
      <c r="F8" s="15">
        <v>0.53068999999999011</v>
      </c>
      <c r="G8" s="15">
        <v>0.60775333333344317</v>
      </c>
      <c r="H8" s="2">
        <f t="shared" si="1"/>
        <v>14.521346423232865</v>
      </c>
      <c r="J8" s="15">
        <v>2.6534499999999506E-2</v>
      </c>
      <c r="K8" s="15">
        <v>3.0387666666672159E-2</v>
      </c>
      <c r="L8" s="2">
        <f t="shared" si="2"/>
        <v>14.521346423232865</v>
      </c>
      <c r="N8" s="15">
        <v>3.1003333333333338E-2</v>
      </c>
      <c r="O8" s="15">
        <v>3.6003333333333332E-2</v>
      </c>
      <c r="P8" s="2">
        <f t="shared" si="3"/>
        <v>16.127298139984926</v>
      </c>
      <c r="R8" s="15">
        <v>6.2862785608294655E-3</v>
      </c>
      <c r="S8" s="15">
        <v>5.0514306556095233E-3</v>
      </c>
      <c r="T8" s="15">
        <f t="shared" si="4"/>
        <v>-19.643544161635205</v>
      </c>
      <c r="V8" s="15">
        <v>0.47264666666666688</v>
      </c>
      <c r="W8" s="15">
        <v>0.5605133333333332</v>
      </c>
      <c r="X8" s="2">
        <f t="shared" si="5"/>
        <v>18.590349380086522</v>
      </c>
      <c r="Z8" s="15">
        <v>2.3632333333333349E-2</v>
      </c>
      <c r="AA8" s="15">
        <v>2.8025666666666661E-2</v>
      </c>
      <c r="AB8" s="2">
        <f t="shared" si="6"/>
        <v>18.590349380086501</v>
      </c>
      <c r="AC8" s="2" t="s">
        <v>16</v>
      </c>
      <c r="AD8" s="15">
        <v>3.7209999999999965E-2</v>
      </c>
      <c r="AE8" s="15">
        <v>3.1416666666666648E-2</v>
      </c>
      <c r="AF8" s="2">
        <f t="shared" si="7"/>
        <v>-15.569291409119382</v>
      </c>
    </row>
    <row r="9" spans="1:32" x14ac:dyDescent="0.25">
      <c r="A9" s="2" t="s">
        <v>112</v>
      </c>
      <c r="B9" s="15">
        <v>7.5316060480579662E-3</v>
      </c>
      <c r="C9" s="15">
        <v>6.8670841753581359E-3</v>
      </c>
      <c r="D9" s="15">
        <f t="shared" si="0"/>
        <v>-8.8231098182727976</v>
      </c>
      <c r="F9" s="15">
        <v>0.7558900000002895</v>
      </c>
      <c r="G9" s="15">
        <v>0.64046333333329419</v>
      </c>
      <c r="H9" s="2">
        <f t="shared" si="1"/>
        <v>-15.270299470419122</v>
      </c>
      <c r="J9" s="15">
        <v>3.7794500000014476E-2</v>
      </c>
      <c r="K9" s="15">
        <v>3.2023166666664708E-2</v>
      </c>
      <c r="L9" s="2">
        <f t="shared" si="2"/>
        <v>-15.270299470419127</v>
      </c>
      <c r="N9" s="15">
        <v>3.9660000000000008E-2</v>
      </c>
      <c r="O9" s="15">
        <v>4.4936666666666659E-2</v>
      </c>
      <c r="P9" s="2">
        <f t="shared" si="3"/>
        <v>13.304757102033914</v>
      </c>
      <c r="R9" s="15">
        <v>5.4308024830000204E-3</v>
      </c>
      <c r="S9" s="15">
        <v>4.4087510147669566E-3</v>
      </c>
      <c r="T9" s="15">
        <f t="shared" si="4"/>
        <v>-18.819529368493516</v>
      </c>
      <c r="V9" s="15">
        <v>0.68971666666666775</v>
      </c>
      <c r="W9" s="15">
        <v>0.58365333333333247</v>
      </c>
      <c r="X9" s="2">
        <f t="shared" si="5"/>
        <v>-15.377812145083988</v>
      </c>
      <c r="Z9" s="15">
        <v>3.4485833333333382E-2</v>
      </c>
      <c r="AA9" s="15">
        <v>2.9182666666666624E-2</v>
      </c>
      <c r="AB9" s="2">
        <f t="shared" si="6"/>
        <v>-15.377812145083974</v>
      </c>
      <c r="AC9" s="2" t="s">
        <v>112</v>
      </c>
      <c r="AD9" s="15">
        <v>3.625666666666668E-2</v>
      </c>
      <c r="AE9" s="15">
        <v>3.413000000000007E-2</v>
      </c>
      <c r="AF9" s="2">
        <f t="shared" si="7"/>
        <v>-5.8655879378503517</v>
      </c>
    </row>
    <row r="10" spans="1:32" x14ac:dyDescent="0.25">
      <c r="A10" s="2" t="s">
        <v>113</v>
      </c>
      <c r="B10" s="15">
        <v>5.1098925267733302E-3</v>
      </c>
      <c r="C10" s="15">
        <v>5.3271574275709629E-3</v>
      </c>
      <c r="D10" s="15">
        <f t="shared" si="0"/>
        <v>4.2518487357468118</v>
      </c>
      <c r="F10" s="15">
        <v>0.78750666666697822</v>
      </c>
      <c r="G10" s="15">
        <v>0.75477999999995882</v>
      </c>
      <c r="H10" s="2">
        <f t="shared" si="1"/>
        <v>-4.1557320150102157</v>
      </c>
      <c r="J10" s="15">
        <v>3.9375333333348916E-2</v>
      </c>
      <c r="K10" s="15">
        <v>3.7738999999997934E-2</v>
      </c>
      <c r="L10" s="2">
        <f t="shared" si="2"/>
        <v>-4.1557320150102477</v>
      </c>
      <c r="N10" s="15">
        <v>3.0779999999999991E-2</v>
      </c>
      <c r="O10" s="15">
        <v>3.2573333333333322E-2</v>
      </c>
      <c r="P10" s="2">
        <f t="shared" si="3"/>
        <v>5.8262941303876907</v>
      </c>
      <c r="R10" s="15">
        <v>4.9449899208368125E-3</v>
      </c>
      <c r="S10" s="15">
        <v>4.003844446276876E-3</v>
      </c>
      <c r="T10" s="15">
        <f t="shared" si="4"/>
        <v>-19.032303192251437</v>
      </c>
      <c r="V10" s="15">
        <v>0.47092000000000045</v>
      </c>
      <c r="W10" s="15">
        <v>0.44087666666666797</v>
      </c>
      <c r="X10" s="2">
        <f t="shared" si="5"/>
        <v>-6.3797106373338259</v>
      </c>
      <c r="Z10" s="15">
        <v>2.3546000000000025E-2</v>
      </c>
      <c r="AA10" s="15">
        <v>2.2043833333333401E-2</v>
      </c>
      <c r="AB10" s="2">
        <f t="shared" si="6"/>
        <v>-6.3797106373338242</v>
      </c>
      <c r="AC10" s="2" t="s">
        <v>113</v>
      </c>
      <c r="AD10" s="15">
        <v>3.0496666666666616E-2</v>
      </c>
      <c r="AE10" s="15">
        <v>3.0216666666666708E-2</v>
      </c>
      <c r="AF10" s="2">
        <f t="shared" si="7"/>
        <v>-0.91813312930345137</v>
      </c>
    </row>
    <row r="11" spans="1:32" s="4" customFormat="1" x14ac:dyDescent="0.25">
      <c r="A11" s="4" t="s">
        <v>114</v>
      </c>
      <c r="B11" s="17">
        <v>1.0699999144405357E-2</v>
      </c>
      <c r="C11" s="17">
        <v>7.9516426103687053E-3</v>
      </c>
      <c r="D11" s="17">
        <f t="shared" si="0"/>
        <v>-25.68557713832779</v>
      </c>
      <c r="F11" s="17">
        <v>1.2181100000005234</v>
      </c>
      <c r="G11" s="17">
        <v>1.1037099999999982</v>
      </c>
      <c r="H11" s="4">
        <f t="shared" si="1"/>
        <v>-9.391598459948284</v>
      </c>
      <c r="J11" s="17">
        <v>6.0905500000026168E-2</v>
      </c>
      <c r="K11" s="17">
        <v>5.5185499999999908E-2</v>
      </c>
      <c r="L11" s="4">
        <f t="shared" si="2"/>
        <v>-9.391598459948284</v>
      </c>
      <c r="N11" s="17">
        <v>5.2600000000000008E-2</v>
      </c>
      <c r="O11" s="17">
        <v>4.1440000000000005E-2</v>
      </c>
      <c r="P11" s="4">
        <f t="shared" si="3"/>
        <v>-21.216730038022817</v>
      </c>
      <c r="R11" s="17">
        <v>1.5076386338201313E-2</v>
      </c>
      <c r="S11" s="17">
        <v>1.005814257034165E-2</v>
      </c>
      <c r="T11" s="17">
        <f t="shared" si="4"/>
        <v>-33.285454851632338</v>
      </c>
      <c r="V11" s="176">
        <v>1.861900000000001</v>
      </c>
      <c r="W11" s="175">
        <v>1.5396899999999998</v>
      </c>
      <c r="X11" s="177">
        <f t="shared" si="5"/>
        <v>-17.305440678876472</v>
      </c>
      <c r="Y11" s="3"/>
      <c r="Z11" s="176">
        <v>9.3095000000000053E-2</v>
      </c>
      <c r="AA11" s="175">
        <v>7.6984499999999983E-2</v>
      </c>
      <c r="AB11" s="177">
        <f t="shared" si="6"/>
        <v>-17.305440678876479</v>
      </c>
      <c r="AC11" s="3" t="s">
        <v>114</v>
      </c>
      <c r="AD11" s="176">
        <v>0.13022999999999985</v>
      </c>
      <c r="AE11" s="175">
        <v>5.7869999999999866E-2</v>
      </c>
      <c r="AF11" s="177">
        <f t="shared" si="7"/>
        <v>-55.563234277816221</v>
      </c>
    </row>
    <row r="12" spans="1:32" x14ac:dyDescent="0.25">
      <c r="A12" s="2" t="s">
        <v>115</v>
      </c>
      <c r="B12" s="15">
        <v>5.1741795356859679E-3</v>
      </c>
      <c r="C12" s="15">
        <v>4.9181504440020795E-3</v>
      </c>
      <c r="D12" s="15">
        <f t="shared" si="0"/>
        <v>-4.9482065691395709</v>
      </c>
      <c r="F12" s="15">
        <v>0.54129000000007965</v>
      </c>
      <c r="G12" s="15">
        <v>0.6154399999999669</v>
      </c>
      <c r="H12" s="2">
        <f t="shared" si="1"/>
        <v>13.69875667384883</v>
      </c>
      <c r="J12" s="15">
        <v>2.7064500000003978E-2</v>
      </c>
      <c r="K12" s="15">
        <v>3.0771999999998346E-2</v>
      </c>
      <c r="L12" s="2">
        <f t="shared" si="2"/>
        <v>13.698756673848855</v>
      </c>
      <c r="N12" s="15">
        <v>3.5313333333333308E-2</v>
      </c>
      <c r="O12" s="15">
        <v>3.5626666666666668E-2</v>
      </c>
      <c r="P12" s="2">
        <f t="shared" si="3"/>
        <v>0.88729469511051573</v>
      </c>
      <c r="R12" s="15">
        <v>4.4545723230461215E-3</v>
      </c>
      <c r="S12" s="15">
        <v>4.2379345034647114E-3</v>
      </c>
      <c r="T12" s="15">
        <f t="shared" si="4"/>
        <v>-4.8632686568049488</v>
      </c>
      <c r="V12" s="15">
        <v>0.53864333333333347</v>
      </c>
      <c r="W12" s="15">
        <v>0.54369666666666527</v>
      </c>
      <c r="X12" s="2">
        <f t="shared" si="5"/>
        <v>0.93815944997588974</v>
      </c>
      <c r="Z12" s="15">
        <v>2.6932166666666674E-2</v>
      </c>
      <c r="AA12" s="15">
        <v>2.7184833333333266E-2</v>
      </c>
      <c r="AB12" s="2">
        <f t="shared" si="6"/>
        <v>0.93815944997589751</v>
      </c>
      <c r="AC12" s="2" t="s">
        <v>115</v>
      </c>
      <c r="AD12" s="15">
        <v>2.846666666666664E-2</v>
      </c>
      <c r="AE12" s="15">
        <v>3.2293333333333209E-2</v>
      </c>
      <c r="AF12" s="2">
        <f t="shared" si="7"/>
        <v>13.442622950819342</v>
      </c>
    </row>
    <row r="13" spans="1:32" x14ac:dyDescent="0.25">
      <c r="A13" s="2" t="s">
        <v>117</v>
      </c>
      <c r="B13" s="15">
        <v>4.6528232717421864E-3</v>
      </c>
      <c r="C13" s="15">
        <v>4.2183118880611487E-3</v>
      </c>
      <c r="D13" s="15">
        <f t="shared" si="0"/>
        <v>-9.3386608152503694</v>
      </c>
      <c r="F13" s="15">
        <v>0.62634999999984087</v>
      </c>
      <c r="G13" s="15">
        <v>0.4539399999999742</v>
      </c>
      <c r="H13" s="2">
        <f t="shared" si="1"/>
        <v>-27.526143529960962</v>
      </c>
      <c r="J13" s="15">
        <v>3.1317499999992039E-2</v>
      </c>
      <c r="K13" s="15">
        <v>2.2696999999998704E-2</v>
      </c>
      <c r="L13" s="2">
        <f t="shared" si="2"/>
        <v>-27.526143529960969</v>
      </c>
      <c r="N13" s="15">
        <v>3.0263333333333326E-2</v>
      </c>
      <c r="O13" s="15">
        <v>2.5596666666666656E-2</v>
      </c>
      <c r="P13" s="2">
        <f t="shared" si="3"/>
        <v>-15.420200462606026</v>
      </c>
      <c r="R13" s="15">
        <v>2.7146078043391135E-3</v>
      </c>
      <c r="S13" s="15">
        <v>2.6344396299719593E-3</v>
      </c>
      <c r="T13" s="15">
        <f t="shared" si="4"/>
        <v>-2.9532138763843125</v>
      </c>
      <c r="V13" s="15">
        <v>0.45429999999999859</v>
      </c>
      <c r="W13" s="15">
        <v>0.34810666666666651</v>
      </c>
      <c r="X13" s="2">
        <f t="shared" si="5"/>
        <v>-23.375155917528598</v>
      </c>
      <c r="Z13" s="15">
        <v>2.271499999999993E-2</v>
      </c>
      <c r="AA13" s="15">
        <v>1.7405333333333325E-2</v>
      </c>
      <c r="AB13" s="2">
        <f t="shared" si="6"/>
        <v>-23.375155917528602</v>
      </c>
      <c r="AC13" s="2" t="s">
        <v>117</v>
      </c>
      <c r="AD13" s="15">
        <v>2.0190000000000003E-2</v>
      </c>
      <c r="AE13" s="15">
        <v>1.9019999999999964E-2</v>
      </c>
      <c r="AF13" s="2">
        <f t="shared" si="7"/>
        <v>-5.7949479940566562</v>
      </c>
    </row>
    <row r="14" spans="1:32" x14ac:dyDescent="0.25">
      <c r="A14" s="2" t="s">
        <v>121</v>
      </c>
      <c r="B14" s="15">
        <v>4.7282744508193785E-3</v>
      </c>
      <c r="C14" s="15">
        <v>4.7480448471124391E-3</v>
      </c>
      <c r="D14" s="15">
        <f t="shared" si="0"/>
        <v>0.41813131827900712</v>
      </c>
      <c r="F14" s="15">
        <v>0.48691333333323367</v>
      </c>
      <c r="G14" s="15">
        <v>0.52811999999996007</v>
      </c>
      <c r="H14" s="2">
        <f t="shared" si="1"/>
        <v>8.4628339061163871</v>
      </c>
      <c r="J14" s="15">
        <v>2.4345666666661683E-2</v>
      </c>
      <c r="K14" s="15">
        <v>2.6405999999998001E-2</v>
      </c>
      <c r="L14" s="2">
        <f t="shared" si="2"/>
        <v>8.4628339061163782</v>
      </c>
      <c r="N14" s="15">
        <v>3.3253333333333329E-2</v>
      </c>
      <c r="O14" s="15">
        <v>3.2954999999999998E-2</v>
      </c>
      <c r="P14" s="2">
        <f t="shared" si="3"/>
        <v>-0.89715316760223851</v>
      </c>
      <c r="R14" s="15">
        <v>4.8670375241000657E-3</v>
      </c>
      <c r="S14" s="15">
        <v>4.3052054951733029E-3</v>
      </c>
      <c r="T14" s="15">
        <f t="shared" si="4"/>
        <v>-11.543614080325954</v>
      </c>
      <c r="V14" s="15">
        <v>0.45698333333333357</v>
      </c>
      <c r="W14" s="15">
        <v>0.3007700000000002</v>
      </c>
      <c r="X14" s="2">
        <f t="shared" si="5"/>
        <v>-34.183595317115859</v>
      </c>
      <c r="Z14" s="15">
        <v>2.2849166666666681E-2</v>
      </c>
      <c r="AA14" s="15">
        <v>1.503850000000001E-2</v>
      </c>
      <c r="AB14" s="2">
        <f t="shared" si="6"/>
        <v>-34.183595317115866</v>
      </c>
      <c r="AC14" s="2" t="s">
        <v>121</v>
      </c>
      <c r="AD14" s="15">
        <v>3.4513333333333319E-2</v>
      </c>
      <c r="AE14" s="15">
        <v>2.5745000000000018E-2</v>
      </c>
      <c r="AF14" s="2">
        <f t="shared" si="7"/>
        <v>-25.405640332238665</v>
      </c>
    </row>
    <row r="15" spans="1:32" x14ac:dyDescent="0.25">
      <c r="A15" s="2" t="s">
        <v>122</v>
      </c>
      <c r="B15" s="15">
        <v>5.5689606178922031E-3</v>
      </c>
      <c r="C15" s="15">
        <v>7.7375891446302596E-3</v>
      </c>
      <c r="D15" s="15">
        <f t="shared" si="0"/>
        <v>38.941351457408238</v>
      </c>
      <c r="F15" s="15">
        <v>0.6165366666665516</v>
      </c>
      <c r="G15" s="15">
        <v>0.63290999999996778</v>
      </c>
      <c r="H15" s="2">
        <f t="shared" si="1"/>
        <v>2.6556949843619835</v>
      </c>
      <c r="J15" s="15">
        <v>3.0826833333327582E-2</v>
      </c>
      <c r="K15" s="15">
        <v>3.164549999999839E-2</v>
      </c>
      <c r="L15" s="2">
        <f t="shared" si="2"/>
        <v>2.6556949843619813</v>
      </c>
      <c r="N15" s="15">
        <v>3.4956666666666671E-2</v>
      </c>
      <c r="O15" s="15">
        <v>4.6223333333333338E-2</v>
      </c>
      <c r="P15" s="2">
        <f t="shared" si="3"/>
        <v>32.230380471059405</v>
      </c>
      <c r="R15" s="15">
        <v>6.4355420691476622E-3</v>
      </c>
      <c r="S15" s="15">
        <v>5.0375266344639342E-3</v>
      </c>
      <c r="T15" s="15">
        <f t="shared" si="4"/>
        <v>-21.7233516565122</v>
      </c>
      <c r="V15" s="15">
        <v>0.48605666666666675</v>
      </c>
      <c r="W15" s="15">
        <v>0.51419999999999966</v>
      </c>
      <c r="X15" s="2">
        <f t="shared" si="5"/>
        <v>5.7901342093170696</v>
      </c>
      <c r="Z15" s="15">
        <v>2.4302833333333333E-2</v>
      </c>
      <c r="AA15" s="15">
        <v>2.5709999999999983E-2</v>
      </c>
      <c r="AB15" s="2">
        <f t="shared" si="6"/>
        <v>5.7901342093170909</v>
      </c>
      <c r="AC15" s="2" t="s">
        <v>122</v>
      </c>
      <c r="AD15" s="15">
        <v>3.7233333333333306E-2</v>
      </c>
      <c r="AE15" s="15">
        <v>3.9196666666666692E-2</v>
      </c>
      <c r="AF15" s="2">
        <f t="shared" si="7"/>
        <v>5.2730528200538611</v>
      </c>
    </row>
    <row r="16" spans="1:32" x14ac:dyDescent="0.25">
      <c r="A16" s="61" t="s">
        <v>123</v>
      </c>
      <c r="B16" s="89" t="s">
        <v>184</v>
      </c>
      <c r="C16" s="102"/>
      <c r="D16" s="103"/>
      <c r="F16" s="89" t="s">
        <v>184</v>
      </c>
      <c r="G16" s="102"/>
      <c r="H16" s="103"/>
      <c r="J16" s="89" t="s">
        <v>184</v>
      </c>
      <c r="K16" s="102"/>
      <c r="L16" s="103"/>
      <c r="N16" s="89" t="s">
        <v>184</v>
      </c>
      <c r="O16" s="102"/>
      <c r="P16" s="103"/>
      <c r="R16" s="89" t="s">
        <v>184</v>
      </c>
      <c r="S16" s="102"/>
      <c r="T16" s="103"/>
      <c r="V16" s="89" t="s">
        <v>184</v>
      </c>
      <c r="W16" s="102"/>
      <c r="X16" s="103"/>
      <c r="Z16" s="89" t="s">
        <v>184</v>
      </c>
      <c r="AA16" s="102"/>
      <c r="AB16" s="103"/>
      <c r="AD16" s="89" t="s">
        <v>184</v>
      </c>
      <c r="AE16" s="102"/>
      <c r="AF16" s="103"/>
    </row>
    <row r="17" spans="1:32" x14ac:dyDescent="0.25">
      <c r="A17" s="1" t="s">
        <v>17</v>
      </c>
      <c r="B17">
        <f>AVERAGE(B2:B16)</f>
        <v>6.2900126906179701E-3</v>
      </c>
      <c r="C17" s="2">
        <f t="shared" ref="C17:AF17" si="8">AVERAGE(C2:C16)</f>
        <v>5.9405602724711621E-3</v>
      </c>
      <c r="D17" s="50">
        <f t="shared" si="8"/>
        <v>-2.1907672161584899</v>
      </c>
      <c r="E17" s="2"/>
      <c r="F17" s="2">
        <f t="shared" si="8"/>
        <v>0.69876678571433037</v>
      </c>
      <c r="G17" s="2">
        <f t="shared" si="8"/>
        <v>0.65754261904761002</v>
      </c>
      <c r="H17" s="50">
        <f t="shared" si="8"/>
        <v>-3.0943219347982378</v>
      </c>
      <c r="I17" s="2"/>
      <c r="J17" s="2">
        <f t="shared" si="8"/>
        <v>3.4938339285716526E-2</v>
      </c>
      <c r="K17" s="2">
        <f t="shared" si="8"/>
        <v>3.2877130952380498E-2</v>
      </c>
      <c r="L17" s="50">
        <f t="shared" si="8"/>
        <v>-3.094321934798244</v>
      </c>
      <c r="M17" s="2"/>
      <c r="N17" s="2">
        <f t="shared" si="8"/>
        <v>3.7548571428571424E-2</v>
      </c>
      <c r="O17" s="2">
        <f t="shared" si="8"/>
        <v>3.6590476190476187E-2</v>
      </c>
      <c r="P17" s="50">
        <f t="shared" si="8"/>
        <v>-1.0322065125161188</v>
      </c>
      <c r="Q17" s="2"/>
      <c r="R17" s="2">
        <f t="shared" si="8"/>
        <v>5.7544172117411727E-3</v>
      </c>
      <c r="S17" s="2">
        <f t="shared" si="8"/>
        <v>5.13387353743923E-3</v>
      </c>
      <c r="T17" s="50">
        <f t="shared" si="8"/>
        <v>-6.2182848936374331</v>
      </c>
      <c r="U17" s="2"/>
      <c r="V17" s="2">
        <f t="shared" si="8"/>
        <v>0.63768678571428594</v>
      </c>
      <c r="W17" s="2">
        <f t="shared" si="8"/>
        <v>0.55547952380952359</v>
      </c>
      <c r="X17" s="50">
        <f t="shared" si="8"/>
        <v>-9.6920616506652273</v>
      </c>
      <c r="Y17" s="2"/>
      <c r="Z17" s="2">
        <f t="shared" si="8"/>
        <v>3.1884339285714297E-2</v>
      </c>
      <c r="AA17" s="2">
        <f t="shared" si="8"/>
        <v>2.7773976190476175E-2</v>
      </c>
      <c r="AB17" s="50">
        <f t="shared" si="8"/>
        <v>-9.6920616506652255</v>
      </c>
      <c r="AC17" s="2"/>
      <c r="AD17" s="2">
        <f t="shared" si="8"/>
        <v>4.369761904761902E-2</v>
      </c>
      <c r="AE17" s="2">
        <f t="shared" si="8"/>
        <v>3.3018809523809513E-2</v>
      </c>
      <c r="AF17" s="50">
        <f t="shared" si="8"/>
        <v>-16.309591722699757</v>
      </c>
    </row>
    <row r="18" spans="1:32" x14ac:dyDescent="0.25">
      <c r="A18" s="1" t="s">
        <v>153</v>
      </c>
      <c r="B18">
        <f>STDEV(B2:B16)</f>
        <v>1.8085777977320517E-3</v>
      </c>
      <c r="C18" s="2">
        <f t="shared" ref="C18:AF18" si="9">STDEV(C2:C16)</f>
        <v>1.357768087028241E-3</v>
      </c>
      <c r="D18" s="2">
        <f t="shared" si="9"/>
        <v>22.705717081072983</v>
      </c>
      <c r="E18" s="2"/>
      <c r="F18" s="2">
        <f t="shared" si="9"/>
        <v>0.22029375031929152</v>
      </c>
      <c r="G18" s="2">
        <f t="shared" si="9"/>
        <v>0.17605647874964719</v>
      </c>
      <c r="H18" s="2">
        <f t="shared" si="9"/>
        <v>16.81480728683092</v>
      </c>
      <c r="I18" s="2"/>
      <c r="J18" s="2">
        <f t="shared" si="9"/>
        <v>1.1014687515964567E-2</v>
      </c>
      <c r="K18" s="2">
        <f t="shared" si="9"/>
        <v>8.8028239374823569E-3</v>
      </c>
      <c r="L18" s="2">
        <f t="shared" si="9"/>
        <v>16.81480728683092</v>
      </c>
      <c r="M18" s="2"/>
      <c r="N18" s="2">
        <f t="shared" si="9"/>
        <v>6.5359280188168776E-3</v>
      </c>
      <c r="O18" s="2">
        <f t="shared" si="9"/>
        <v>6.9265556254694749E-3</v>
      </c>
      <c r="P18" s="2">
        <f t="shared" si="9"/>
        <v>20.261830355265012</v>
      </c>
      <c r="Q18" s="2"/>
      <c r="R18" s="2">
        <f t="shared" si="9"/>
        <v>2.8325709354053816E-3</v>
      </c>
      <c r="S18" s="2">
        <f t="shared" si="9"/>
        <v>1.8953574572347662E-3</v>
      </c>
      <c r="T18" s="2">
        <f t="shared" si="9"/>
        <v>27.107440762686586</v>
      </c>
      <c r="U18" s="2"/>
      <c r="V18" s="2">
        <f t="shared" si="9"/>
        <v>0.37209200182710567</v>
      </c>
      <c r="W18" s="2">
        <f t="shared" si="9"/>
        <v>0.29449951250045142</v>
      </c>
      <c r="X18" s="2">
        <f t="shared" si="9"/>
        <v>18.937467398097251</v>
      </c>
      <c r="Y18" s="2"/>
      <c r="Z18" s="2">
        <f t="shared" si="9"/>
        <v>1.8604600091355283E-2</v>
      </c>
      <c r="AA18" s="2">
        <f t="shared" si="9"/>
        <v>1.4724975625022582E-2</v>
      </c>
      <c r="AB18" s="2">
        <f t="shared" si="9"/>
        <v>18.937467398097251</v>
      </c>
      <c r="AC18" s="2"/>
      <c r="AD18" s="2">
        <f t="shared" si="9"/>
        <v>2.6854438512592581E-2</v>
      </c>
      <c r="AE18" s="2">
        <f t="shared" si="9"/>
        <v>9.7399304440506269E-3</v>
      </c>
      <c r="AF18" s="2">
        <f t="shared" si="9"/>
        <v>20.277586389782709</v>
      </c>
    </row>
    <row r="20" spans="1:32" x14ac:dyDescent="0.25">
      <c r="A20" s="20"/>
      <c r="B20" s="35"/>
      <c r="C20" s="35" t="s">
        <v>185</v>
      </c>
      <c r="G20" s="35" t="s">
        <v>283</v>
      </c>
      <c r="K20" s="35" t="s">
        <v>283</v>
      </c>
      <c r="O20" s="35" t="s">
        <v>283</v>
      </c>
      <c r="S20" s="35" t="s">
        <v>283</v>
      </c>
      <c r="W20" s="35" t="s">
        <v>283</v>
      </c>
      <c r="AA20" s="35" t="s">
        <v>283</v>
      </c>
      <c r="AE20" s="35" t="s">
        <v>283</v>
      </c>
    </row>
    <row r="21" spans="1:32" x14ac:dyDescent="0.25">
      <c r="A21" s="20"/>
      <c r="B21" s="35"/>
      <c r="C21" s="157" t="s">
        <v>395</v>
      </c>
      <c r="G21" s="159" t="s">
        <v>390</v>
      </c>
      <c r="K21" s="159" t="s">
        <v>390</v>
      </c>
      <c r="O21" s="159" t="s">
        <v>391</v>
      </c>
      <c r="S21" s="159" t="s">
        <v>392</v>
      </c>
      <c r="W21" s="159" t="s">
        <v>393</v>
      </c>
      <c r="AA21" s="159" t="s">
        <v>393</v>
      </c>
      <c r="AE21" s="159" t="s">
        <v>394</v>
      </c>
    </row>
    <row r="22" spans="1:32" x14ac:dyDescent="0.25">
      <c r="A22" s="20" t="s">
        <v>281</v>
      </c>
      <c r="B22" s="26">
        <v>3.4900000000000003E-4</v>
      </c>
      <c r="C22" s="26">
        <v>1.606E-3</v>
      </c>
      <c r="F22">
        <v>4.1223999999999997E-2</v>
      </c>
      <c r="G22">
        <v>0.120323</v>
      </c>
      <c r="J22">
        <v>2.0609999999999999E-3</v>
      </c>
      <c r="K22">
        <v>6.0159999999999996E-3</v>
      </c>
      <c r="N22">
        <v>9.5799999999999998E-4</v>
      </c>
      <c r="O22">
        <v>7.9570000000000005E-3</v>
      </c>
      <c r="R22">
        <v>6.2100000000000002E-4</v>
      </c>
      <c r="S22">
        <v>1.794E-3</v>
      </c>
      <c r="V22">
        <v>8.2207000000000002E-2</v>
      </c>
      <c r="W22">
        <v>0.125914</v>
      </c>
      <c r="Z22">
        <v>4.1099999999999999E-3</v>
      </c>
      <c r="AA22">
        <v>6.2960000000000004E-3</v>
      </c>
      <c r="AD22">
        <v>1.0678999999999999E-2</v>
      </c>
      <c r="AE22">
        <v>1.9244000000000001E-2</v>
      </c>
    </row>
    <row r="23" spans="1:32" x14ac:dyDescent="0.25">
      <c r="A23" s="20"/>
      <c r="B23" s="35" t="s">
        <v>282</v>
      </c>
      <c r="C23" s="49">
        <f>B22/C22</f>
        <v>0.21731008717310088</v>
      </c>
      <c r="F23" s="35" t="s">
        <v>282</v>
      </c>
      <c r="G23" s="10">
        <f>F22/G22</f>
        <v>0.34261113835260087</v>
      </c>
      <c r="J23" s="35" t="s">
        <v>282</v>
      </c>
      <c r="K23" s="10">
        <f>J22/K22</f>
        <v>0.34258643617021278</v>
      </c>
      <c r="N23" s="35" t="s">
        <v>282</v>
      </c>
      <c r="O23" s="10">
        <f>N22/O22</f>
        <v>0.12039713459846675</v>
      </c>
      <c r="R23" s="35" t="s">
        <v>282</v>
      </c>
      <c r="S23" s="10">
        <f>R22/S22</f>
        <v>0.34615384615384615</v>
      </c>
      <c r="V23" s="35" t="s">
        <v>282</v>
      </c>
      <c r="W23" s="10">
        <f>V22/W22</f>
        <v>0.65288212589545247</v>
      </c>
      <c r="Z23" s="35" t="s">
        <v>282</v>
      </c>
      <c r="AA23" s="10">
        <f>Z22/AA22</f>
        <v>0.65279542566709015</v>
      </c>
      <c r="AD23" s="35" t="s">
        <v>282</v>
      </c>
      <c r="AE23" s="10">
        <f>AD22/AE22</f>
        <v>0.55492621076699222</v>
      </c>
    </row>
    <row r="25" spans="1:32" x14ac:dyDescent="0.25">
      <c r="A25" t="s">
        <v>439</v>
      </c>
      <c r="B25">
        <f>AVERAGE(B2:B10,B12:B16)</f>
        <v>5.9507829634035565E-3</v>
      </c>
      <c r="C25" s="2">
        <f t="shared" ref="C25:AE25" si="10">AVERAGE(C2:C10,C12:C16)</f>
        <v>5.7858616310944282E-3</v>
      </c>
      <c r="D25" s="2">
        <f t="shared" si="10"/>
        <v>-0.38347414522239048</v>
      </c>
      <c r="E25" s="2"/>
      <c r="F25" s="2">
        <f t="shared" si="10"/>
        <v>0.65881730769231561</v>
      </c>
      <c r="G25" s="2">
        <f t="shared" si="10"/>
        <v>0.62322205128204178</v>
      </c>
      <c r="H25" s="2">
        <f t="shared" si="10"/>
        <v>-2.6099160482482344</v>
      </c>
      <c r="I25" s="2"/>
      <c r="J25" s="2">
        <f t="shared" si="10"/>
        <v>3.2940865384615783E-2</v>
      </c>
      <c r="K25" s="2">
        <f t="shared" si="10"/>
        <v>3.1161102564102088E-2</v>
      </c>
      <c r="L25" s="2">
        <f t="shared" si="10"/>
        <v>-2.6099160482482406</v>
      </c>
      <c r="M25" s="2"/>
      <c r="N25" s="2">
        <f t="shared" si="10"/>
        <v>3.6390769230769233E-2</v>
      </c>
      <c r="O25" s="2">
        <f t="shared" si="10"/>
        <v>3.6217435897435896E-2</v>
      </c>
      <c r="P25" s="2">
        <f t="shared" si="10"/>
        <v>0.52044914329208902</v>
      </c>
      <c r="Q25" s="2"/>
      <c r="R25" s="2">
        <f t="shared" si="10"/>
        <v>5.0373426635519315E-3</v>
      </c>
      <c r="S25" s="2">
        <f t="shared" si="10"/>
        <v>4.7550836118313514E-3</v>
      </c>
      <c r="T25" s="2">
        <f t="shared" si="10"/>
        <v>-4.1361948968685942</v>
      </c>
      <c r="U25" s="2"/>
      <c r="V25" s="2">
        <f t="shared" si="10"/>
        <v>0.54351653846153858</v>
      </c>
      <c r="W25" s="2">
        <f t="shared" si="10"/>
        <v>0.47977102564102542</v>
      </c>
      <c r="X25" s="2">
        <f t="shared" si="10"/>
        <v>-9.1064171100335933</v>
      </c>
      <c r="Y25" s="2"/>
      <c r="Z25" s="2">
        <f t="shared" si="10"/>
        <v>2.7175826923076931E-2</v>
      </c>
      <c r="AA25" s="2">
        <f t="shared" si="10"/>
        <v>2.3988551282051275E-2</v>
      </c>
      <c r="AB25" s="2">
        <f t="shared" si="10"/>
        <v>-9.1064171100335933</v>
      </c>
      <c r="AC25" s="2"/>
      <c r="AD25" s="2">
        <f t="shared" si="10"/>
        <v>3.7041282051282029E-2</v>
      </c>
      <c r="AE25" s="2">
        <f t="shared" si="10"/>
        <v>3.1107179487179486E-2</v>
      </c>
    </row>
    <row r="26" spans="1:32" ht="15.75" thickBot="1" x14ac:dyDescent="0.3">
      <c r="A26" t="s">
        <v>440</v>
      </c>
      <c r="B26">
        <f>STDEV(B2:B10,B12:B16)</f>
        <v>1.3409703710222723E-3</v>
      </c>
      <c r="C26" s="2">
        <f t="shared" ref="C26:AE26" si="11">STDEV(C2:C10,C12:C16)</f>
        <v>1.2783576847139764E-3</v>
      </c>
      <c r="D26" s="2">
        <f t="shared" si="11"/>
        <v>22.560430968291069</v>
      </c>
      <c r="E26" s="2"/>
      <c r="F26" s="2">
        <f t="shared" si="11"/>
        <v>0.16842815209966025</v>
      </c>
      <c r="G26" s="2">
        <f t="shared" si="11"/>
        <v>0.12535564026924473</v>
      </c>
      <c r="H26" s="2">
        <f t="shared" si="11"/>
        <v>17.399436158872568</v>
      </c>
      <c r="I26" s="2"/>
      <c r="J26" s="2">
        <f t="shared" si="11"/>
        <v>8.4214076049829653E-3</v>
      </c>
      <c r="K26" s="2">
        <f t="shared" si="11"/>
        <v>6.2677820134622482E-3</v>
      </c>
      <c r="L26" s="2">
        <f t="shared" si="11"/>
        <v>17.399436158872568</v>
      </c>
      <c r="M26" s="2"/>
      <c r="N26" s="2">
        <f t="shared" si="11"/>
        <v>5.0938405350002295E-3</v>
      </c>
      <c r="O26" s="2">
        <f t="shared" si="11"/>
        <v>7.0614935735015582E-3</v>
      </c>
      <c r="P26" s="2">
        <f t="shared" si="11"/>
        <v>20.203729847333879</v>
      </c>
      <c r="Q26" s="2"/>
      <c r="R26" s="2">
        <f t="shared" si="11"/>
        <v>9.452204398567827E-4</v>
      </c>
      <c r="S26" s="2">
        <f t="shared" si="11"/>
        <v>1.3098107232851332E-3</v>
      </c>
      <c r="T26" s="2">
        <f t="shared" si="11"/>
        <v>27.024041006401362</v>
      </c>
      <c r="U26" s="2"/>
      <c r="V26" s="2">
        <f t="shared" si="11"/>
        <v>0.12446535548664758</v>
      </c>
      <c r="W26" s="2">
        <f t="shared" si="11"/>
        <v>8.3818334679770096E-2</v>
      </c>
      <c r="X26" s="2">
        <f t="shared" si="11"/>
        <v>19.57834146621191</v>
      </c>
      <c r="Y26" s="2"/>
      <c r="Z26" s="2">
        <f t="shared" si="11"/>
        <v>6.2232677743323424E-3</v>
      </c>
      <c r="AA26" s="2">
        <f t="shared" si="11"/>
        <v>4.1909167339885143E-3</v>
      </c>
      <c r="AB26" s="2">
        <f t="shared" si="11"/>
        <v>19.578341466211906</v>
      </c>
      <c r="AC26" s="2"/>
      <c r="AD26" s="2">
        <f t="shared" si="11"/>
        <v>1.0453267590182794E-2</v>
      </c>
      <c r="AE26" s="2">
        <f t="shared" si="11"/>
        <v>6.8809715609430286E-3</v>
      </c>
    </row>
    <row r="27" spans="1:32" x14ac:dyDescent="0.25">
      <c r="R27" s="178"/>
      <c r="S27" s="179"/>
      <c r="T27" s="179"/>
      <c r="U27" s="179"/>
      <c r="V27" s="179" t="s">
        <v>444</v>
      </c>
      <c r="W27" s="179" t="s">
        <v>445</v>
      </c>
      <c r="X27" s="179" t="s">
        <v>23</v>
      </c>
      <c r="Y27" s="179"/>
      <c r="Z27" s="179" t="s">
        <v>444</v>
      </c>
      <c r="AA27" s="179" t="s">
        <v>445</v>
      </c>
      <c r="AB27" s="179" t="s">
        <v>23</v>
      </c>
      <c r="AC27" s="179"/>
      <c r="AD27" s="179" t="s">
        <v>444</v>
      </c>
      <c r="AE27" s="179" t="s">
        <v>445</v>
      </c>
      <c r="AF27" s="180" t="s">
        <v>23</v>
      </c>
    </row>
    <row r="28" spans="1:32" x14ac:dyDescent="0.25">
      <c r="R28" s="181"/>
      <c r="S28" s="5" t="s">
        <v>441</v>
      </c>
      <c r="T28" s="5"/>
      <c r="U28" s="5" t="s">
        <v>439</v>
      </c>
      <c r="V28" s="5">
        <f>AVERAGE(V2:V10,V12:V16)</f>
        <v>0.54351653846153858</v>
      </c>
      <c r="W28" s="5">
        <f>AVERAGE(W2:W10,W12:W16)</f>
        <v>0.47977102564102542</v>
      </c>
      <c r="X28" s="5">
        <f>AVERAGE(X2:X10,X12:X16)</f>
        <v>-9.1064171100335933</v>
      </c>
      <c r="Y28" s="5"/>
      <c r="Z28" s="5">
        <f>AVERAGE(Z2:Z10,Z12:Z16)</f>
        <v>2.7175826923076931E-2</v>
      </c>
      <c r="AA28" s="5">
        <f>AVERAGE(AA2:AA10,AA12:AA16)</f>
        <v>2.3988551282051275E-2</v>
      </c>
      <c r="AB28" s="5">
        <f>AVERAGE(AB2:AB10,AB12:AB16)</f>
        <v>-9.1064171100335933</v>
      </c>
      <c r="AC28" s="5"/>
      <c r="AD28" s="5">
        <f>AVERAGE(AD2:AD10,AD12:AD16)</f>
        <v>3.7041282051282029E-2</v>
      </c>
      <c r="AE28" s="5">
        <f>AVERAGE(AE2:AE10,AE12:AE16)</f>
        <v>3.1107179487179486E-2</v>
      </c>
      <c r="AF28" s="182">
        <f>AVERAGE(AF2:AF10,AF12:AF16)</f>
        <v>-13.29008075692157</v>
      </c>
    </row>
    <row r="29" spans="1:32" x14ac:dyDescent="0.25">
      <c r="R29" s="181"/>
      <c r="S29" s="5"/>
      <c r="T29" s="5"/>
      <c r="U29" s="5" t="s">
        <v>442</v>
      </c>
      <c r="V29" s="5">
        <f>STDEV(V2:V10,V12:V16)</f>
        <v>0.12446535548664758</v>
      </c>
      <c r="W29" s="5">
        <f t="shared" ref="W29:AE29" si="12">STDEV(W2:W10,W12:W16)</f>
        <v>8.3818334679770096E-2</v>
      </c>
      <c r="X29" s="5"/>
      <c r="Y29" s="5"/>
      <c r="Z29" s="5">
        <f t="shared" si="12"/>
        <v>6.2232677743323424E-3</v>
      </c>
      <c r="AA29" s="5">
        <f t="shared" si="12"/>
        <v>4.1909167339885143E-3</v>
      </c>
      <c r="AB29" s="5"/>
      <c r="AC29" s="5"/>
      <c r="AD29" s="5">
        <f t="shared" si="12"/>
        <v>1.0453267590182794E-2</v>
      </c>
      <c r="AE29" s="5">
        <f t="shared" si="12"/>
        <v>6.8809715609430286E-3</v>
      </c>
      <c r="AF29" s="182"/>
    </row>
    <row r="30" spans="1:32" x14ac:dyDescent="0.25">
      <c r="R30" s="181"/>
      <c r="S30" s="5"/>
      <c r="T30" s="5"/>
      <c r="U30" s="5"/>
      <c r="V30" s="5"/>
      <c r="W30" s="183" t="s">
        <v>394</v>
      </c>
      <c r="X30" s="5"/>
      <c r="Y30" s="5"/>
      <c r="Z30" s="5"/>
      <c r="AA30" s="183" t="s">
        <v>394</v>
      </c>
      <c r="AB30" s="5"/>
      <c r="AC30" s="5"/>
      <c r="AD30" s="5"/>
      <c r="AE30" s="183" t="s">
        <v>443</v>
      </c>
      <c r="AF30" s="182"/>
    </row>
    <row r="31" spans="1:32" x14ac:dyDescent="0.25">
      <c r="R31" s="181"/>
      <c r="S31" s="5"/>
      <c r="T31" s="5"/>
      <c r="U31" s="5"/>
      <c r="V31" s="5">
        <v>6.3745999999999997E-2</v>
      </c>
      <c r="W31" s="5">
        <v>0.109572</v>
      </c>
      <c r="X31" s="5"/>
      <c r="Y31" s="5"/>
      <c r="Z31" s="5">
        <v>3.1870000000000002E-3</v>
      </c>
      <c r="AA31" s="5">
        <v>5.4790000000000004E-3</v>
      </c>
      <c r="AB31" s="5"/>
      <c r="AC31" s="5"/>
      <c r="AD31" s="5">
        <v>5.934E-3</v>
      </c>
      <c r="AE31" s="5">
        <v>7.731E-3</v>
      </c>
      <c r="AF31" s="182"/>
    </row>
    <row r="32" spans="1:32" x14ac:dyDescent="0.25">
      <c r="R32" s="181"/>
      <c r="S32" s="5"/>
      <c r="T32" s="5"/>
      <c r="U32" s="5"/>
      <c r="V32" s="184" t="s">
        <v>282</v>
      </c>
      <c r="W32" s="195">
        <f>V31/W31</f>
        <v>0.58177271565728461</v>
      </c>
      <c r="X32" s="5"/>
      <c r="Y32" s="5"/>
      <c r="Z32" s="184" t="s">
        <v>282</v>
      </c>
      <c r="AA32" s="195">
        <f>Z31/AA31</f>
        <v>0.58167548822777881</v>
      </c>
      <c r="AB32" s="5"/>
      <c r="AC32" s="5"/>
      <c r="AD32" s="184" t="s">
        <v>282</v>
      </c>
      <c r="AE32" s="195">
        <f>AD31/AE31</f>
        <v>0.76755917733798995</v>
      </c>
      <c r="AF32" s="182"/>
    </row>
    <row r="33" spans="18:32" x14ac:dyDescent="0.25">
      <c r="R33" s="18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82"/>
    </row>
    <row r="34" spans="18:32" ht="15.75" thickBot="1" x14ac:dyDescent="0.3">
      <c r="R34" s="185"/>
      <c r="S34" s="186"/>
      <c r="T34" s="189"/>
      <c r="U34" s="189" t="s">
        <v>447</v>
      </c>
      <c r="V34" s="191"/>
      <c r="W34" s="191">
        <f>(W28-V28)/V28*100</f>
        <v>-11.728348322380269</v>
      </c>
      <c r="X34" s="191"/>
      <c r="Y34" s="191"/>
      <c r="Z34" s="191"/>
      <c r="AA34" s="191">
        <f>(AA28-Z28)/Z28*100</f>
        <v>-11.72834832238026</v>
      </c>
      <c r="AB34" s="191"/>
      <c r="AC34" s="191"/>
      <c r="AD34" s="191"/>
      <c r="AE34" s="191">
        <f>(AE28-AD28)/AD28*100</f>
        <v>-16.020240757020879</v>
      </c>
      <c r="AF34" s="187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8"/>
  <sheetViews>
    <sheetView workbookViewId="0">
      <selection activeCell="F3" sqref="F3"/>
    </sheetView>
  </sheetViews>
  <sheetFormatPr defaultRowHeight="15" x14ac:dyDescent="0.25"/>
  <sheetData>
    <row r="1" spans="1:6" x14ac:dyDescent="0.25">
      <c r="A1" t="s">
        <v>466</v>
      </c>
      <c r="C1" t="s">
        <v>467</v>
      </c>
      <c r="D1" s="2" t="s">
        <v>23</v>
      </c>
    </row>
    <row r="2" spans="1:6" x14ac:dyDescent="0.25">
      <c r="A2" s="2" t="s">
        <v>11</v>
      </c>
      <c r="B2">
        <v>1023</v>
      </c>
      <c r="C2">
        <v>2025</v>
      </c>
      <c r="D2">
        <f>(C2-B2)/B2*100</f>
        <v>97.94721407624634</v>
      </c>
    </row>
    <row r="3" spans="1:6" x14ac:dyDescent="0.25">
      <c r="A3" s="2" t="s">
        <v>10</v>
      </c>
      <c r="B3">
        <v>3144.75</v>
      </c>
      <c r="C3">
        <v>6209.75</v>
      </c>
      <c r="D3" s="2">
        <f t="shared" ref="D3:D15" si="0">(C3-B3)/B3*100</f>
        <v>97.46402734716591</v>
      </c>
      <c r="F3" t="s">
        <v>473</v>
      </c>
    </row>
    <row r="4" spans="1:6" x14ac:dyDescent="0.25">
      <c r="A4" s="2" t="s">
        <v>12</v>
      </c>
      <c r="B4">
        <v>2631.75</v>
      </c>
      <c r="C4">
        <v>3053</v>
      </c>
      <c r="D4" s="2">
        <f t="shared" si="0"/>
        <v>16.006459580127292</v>
      </c>
    </row>
    <row r="5" spans="1:6" x14ac:dyDescent="0.25">
      <c r="A5" s="2" t="s">
        <v>13</v>
      </c>
      <c r="B5">
        <v>1133.25</v>
      </c>
      <c r="C5">
        <v>1458</v>
      </c>
      <c r="D5" s="2">
        <f t="shared" si="0"/>
        <v>28.656518861681008</v>
      </c>
    </row>
    <row r="6" spans="1:6" x14ac:dyDescent="0.25">
      <c r="A6" s="2" t="s">
        <v>14</v>
      </c>
      <c r="B6">
        <v>1508.125</v>
      </c>
      <c r="C6">
        <v>1426.875</v>
      </c>
      <c r="D6" s="2">
        <f t="shared" si="0"/>
        <v>-5.3874844591794444</v>
      </c>
    </row>
    <row r="7" spans="1:6" x14ac:dyDescent="0.25">
      <c r="A7" s="2" t="s">
        <v>15</v>
      </c>
      <c r="B7">
        <v>4729.875</v>
      </c>
      <c r="C7">
        <v>4295.25</v>
      </c>
      <c r="D7" s="2">
        <f t="shared" si="0"/>
        <v>-9.1889320542297632</v>
      </c>
    </row>
    <row r="8" spans="1:6" x14ac:dyDescent="0.25">
      <c r="A8" s="2" t="s">
        <v>16</v>
      </c>
      <c r="B8">
        <v>1643.25</v>
      </c>
      <c r="C8">
        <v>1378.125</v>
      </c>
      <c r="D8" s="2">
        <f t="shared" si="0"/>
        <v>-16.134185303514375</v>
      </c>
    </row>
    <row r="9" spans="1:6" x14ac:dyDescent="0.25">
      <c r="A9" s="2" t="s">
        <v>112</v>
      </c>
      <c r="B9">
        <v>1574.0625</v>
      </c>
      <c r="C9">
        <v>1251.875</v>
      </c>
      <c r="D9" s="2">
        <f t="shared" si="0"/>
        <v>-20.468532856859241</v>
      </c>
    </row>
    <row r="10" spans="1:6" x14ac:dyDescent="0.25">
      <c r="A10" s="2" t="s">
        <v>113</v>
      </c>
      <c r="B10">
        <v>4296.75</v>
      </c>
      <c r="C10">
        <v>4075.1875</v>
      </c>
      <c r="D10" s="2">
        <f t="shared" si="0"/>
        <v>-5.1565136440332813</v>
      </c>
    </row>
    <row r="11" spans="1:6" x14ac:dyDescent="0.25">
      <c r="A11" s="2" t="s">
        <v>114</v>
      </c>
      <c r="B11">
        <v>4081.875</v>
      </c>
      <c r="C11">
        <v>6550.625</v>
      </c>
      <c r="D11" s="2">
        <f t="shared" si="0"/>
        <v>60.480783953452764</v>
      </c>
    </row>
    <row r="12" spans="1:6" x14ac:dyDescent="0.25">
      <c r="A12" s="2" t="s">
        <v>115</v>
      </c>
      <c r="B12">
        <v>5056.5</v>
      </c>
      <c r="C12">
        <v>3531.25</v>
      </c>
      <c r="D12" s="2">
        <f t="shared" si="0"/>
        <v>-30.164145159695444</v>
      </c>
    </row>
    <row r="13" spans="1:6" x14ac:dyDescent="0.25">
      <c r="A13" s="2" t="s">
        <v>117</v>
      </c>
      <c r="B13">
        <v>50</v>
      </c>
      <c r="C13">
        <v>1040.625</v>
      </c>
      <c r="D13" s="2">
        <f t="shared" si="0"/>
        <v>1981.25</v>
      </c>
    </row>
    <row r="14" spans="1:6" x14ac:dyDescent="0.25">
      <c r="A14" s="2" t="s">
        <v>121</v>
      </c>
      <c r="B14">
        <v>165</v>
      </c>
      <c r="C14">
        <v>1376.625</v>
      </c>
      <c r="D14" s="2">
        <f t="shared" si="0"/>
        <v>734.31818181818176</v>
      </c>
    </row>
    <row r="15" spans="1:6" x14ac:dyDescent="0.25">
      <c r="A15" s="2" t="s">
        <v>122</v>
      </c>
      <c r="B15">
        <v>442.9375</v>
      </c>
      <c r="C15">
        <v>1829.25</v>
      </c>
      <c r="D15" s="2">
        <f t="shared" si="0"/>
        <v>312.98151545082544</v>
      </c>
    </row>
    <row r="16" spans="1:6" x14ac:dyDescent="0.25">
      <c r="A16" s="61" t="s">
        <v>123</v>
      </c>
      <c r="B16" s="2"/>
      <c r="C16" s="102" t="s">
        <v>148</v>
      </c>
      <c r="D16" s="103" t="s">
        <v>151</v>
      </c>
      <c r="E16" s="7"/>
    </row>
    <row r="17" spans="1:3" x14ac:dyDescent="0.25">
      <c r="A17" s="1" t="s">
        <v>17</v>
      </c>
      <c r="B17">
        <f>AVERAGE(B2:B16)</f>
        <v>2248.6517857142858</v>
      </c>
      <c r="C17" s="2">
        <f>AVERAGE(C2:C16)</f>
        <v>2821.53125</v>
      </c>
    </row>
    <row r="18" spans="1:3" x14ac:dyDescent="0.25">
      <c r="A18" s="1" t="s">
        <v>153</v>
      </c>
      <c r="B18">
        <f>STDEV(B2:B16)</f>
        <v>1734.2307992226774</v>
      </c>
      <c r="C18" s="2">
        <f>STDEV(C2:C16)</f>
        <v>1858.8031106215876</v>
      </c>
    </row>
    <row r="20" spans="1:3" x14ac:dyDescent="0.25">
      <c r="A20" t="s">
        <v>468</v>
      </c>
      <c r="C20" s="233">
        <f>(C17-B17)/B17*100</f>
        <v>25.476575249455024</v>
      </c>
    </row>
    <row r="22" spans="1:3" x14ac:dyDescent="0.25">
      <c r="C22" s="50" t="s">
        <v>283</v>
      </c>
    </row>
    <row r="23" spans="1:3" x14ac:dyDescent="0.25">
      <c r="C23" s="50" t="s">
        <v>472</v>
      </c>
    </row>
    <row r="25" spans="1:3" x14ac:dyDescent="0.25">
      <c r="A25" t="s">
        <v>281</v>
      </c>
      <c r="B25" t="s">
        <v>470</v>
      </c>
      <c r="C25" t="s">
        <v>471</v>
      </c>
    </row>
    <row r="26" spans="1:3" x14ac:dyDescent="0.25">
      <c r="B26">
        <v>-572.87900000000002</v>
      </c>
      <c r="C26">
        <v>1218.3689999999999</v>
      </c>
    </row>
    <row r="28" spans="1:3" x14ac:dyDescent="0.25">
      <c r="B28" s="50" t="s">
        <v>469</v>
      </c>
      <c r="C28" s="50">
        <f>B26/C26</f>
        <v>-0.47020155634294708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54"/>
  <sheetViews>
    <sheetView topLeftCell="A19" workbookViewId="0">
      <pane xSplit="1" topLeftCell="D1" activePane="topRight" state="frozen"/>
      <selection pane="topRight" activeCell="O28" sqref="O28"/>
    </sheetView>
  </sheetViews>
  <sheetFormatPr defaultRowHeight="15" x14ac:dyDescent="0.25"/>
  <cols>
    <col min="1" max="1" width="9.5703125" customWidth="1"/>
    <col min="4" max="4" width="11.140625" bestFit="1" customWidth="1"/>
    <col min="7" max="7" width="12" bestFit="1" customWidth="1"/>
    <col min="8" max="8" width="14.5703125" bestFit="1" customWidth="1"/>
    <col min="31" max="31" width="9.140625" style="136"/>
  </cols>
  <sheetData>
    <row r="1" spans="1:31" s="140" customFormat="1" ht="15.75" x14ac:dyDescent="0.25">
      <c r="A1" s="142" t="s">
        <v>296</v>
      </c>
      <c r="B1" s="142" t="s">
        <v>348</v>
      </c>
      <c r="C1" s="142" t="s">
        <v>349</v>
      </c>
      <c r="D1" s="142" t="s">
        <v>23</v>
      </c>
      <c r="E1" s="142"/>
      <c r="F1" s="142" t="s">
        <v>350</v>
      </c>
      <c r="G1" s="142" t="s">
        <v>357</v>
      </c>
      <c r="H1" s="146" t="s">
        <v>23</v>
      </c>
      <c r="J1" s="146" t="s">
        <v>358</v>
      </c>
      <c r="K1" s="140" t="s">
        <v>359</v>
      </c>
      <c r="L1" s="146" t="s">
        <v>23</v>
      </c>
      <c r="N1" s="140" t="s">
        <v>360</v>
      </c>
      <c r="O1" s="140" t="s">
        <v>361</v>
      </c>
      <c r="P1" s="140" t="s">
        <v>23</v>
      </c>
      <c r="R1" s="140" t="s">
        <v>362</v>
      </c>
      <c r="S1" s="140" t="s">
        <v>363</v>
      </c>
      <c r="T1" s="140" t="s">
        <v>23</v>
      </c>
      <c r="V1" s="140" t="s">
        <v>364</v>
      </c>
      <c r="W1" s="140" t="s">
        <v>365</v>
      </c>
      <c r="X1" s="140" t="s">
        <v>23</v>
      </c>
      <c r="Z1" s="140" t="s">
        <v>366</v>
      </c>
      <c r="AA1" s="140" t="s">
        <v>367</v>
      </c>
      <c r="AB1" s="140" t="s">
        <v>23</v>
      </c>
      <c r="AE1" s="150"/>
    </row>
    <row r="2" spans="1:31" x14ac:dyDescent="0.25">
      <c r="A2" s="142" t="s">
        <v>11</v>
      </c>
      <c r="B2" s="143">
        <v>1.6627000000000001</v>
      </c>
      <c r="C2" s="143">
        <v>1.7081999999999999</v>
      </c>
      <c r="D2" s="144">
        <f>(C2-B2)/B2*100</f>
        <v>2.736512900703667</v>
      </c>
      <c r="E2" s="144"/>
      <c r="F2" s="145">
        <v>22.73</v>
      </c>
      <c r="G2" s="145">
        <v>27.13</v>
      </c>
      <c r="H2">
        <f>(G2-F2)/F2*100</f>
        <v>19.357677078750545</v>
      </c>
      <c r="J2" s="145">
        <v>39.85</v>
      </c>
      <c r="K2" s="145">
        <v>45.94</v>
      </c>
      <c r="L2">
        <f>(K2-J2)/J2*100</f>
        <v>15.282308657465485</v>
      </c>
      <c r="N2" s="145">
        <v>33.85</v>
      </c>
      <c r="O2" s="145">
        <v>63.05</v>
      </c>
      <c r="P2">
        <f>(O2-N2)/N2*100</f>
        <v>86.26292466765139</v>
      </c>
      <c r="R2" s="145">
        <v>10.47</v>
      </c>
      <c r="S2" s="145">
        <v>13.19</v>
      </c>
      <c r="T2">
        <f>(S2-R2)/R2*100</f>
        <v>25.978987583572099</v>
      </c>
      <c r="V2" s="145">
        <v>1.56</v>
      </c>
      <c r="W2" s="145">
        <v>5.24</v>
      </c>
      <c r="X2">
        <f>(W2-V2)/V2*100</f>
        <v>235.89743589743591</v>
      </c>
      <c r="Z2" s="145">
        <v>27.17</v>
      </c>
      <c r="AA2" s="145">
        <v>31.07</v>
      </c>
      <c r="AB2">
        <f>(AA2-Z2)/Z2*100</f>
        <v>14.354066985645927</v>
      </c>
    </row>
    <row r="3" spans="1:31" x14ac:dyDescent="0.25">
      <c r="A3" s="197" t="s">
        <v>10</v>
      </c>
      <c r="B3" s="198">
        <v>0</v>
      </c>
      <c r="C3" s="198">
        <v>2.1815000000000002</v>
      </c>
      <c r="D3" s="156" t="e">
        <f>(C3-B3)/B3*100</f>
        <v>#DIV/0!</v>
      </c>
      <c r="E3" s="144"/>
      <c r="F3" s="145">
        <v>8.19</v>
      </c>
      <c r="G3" s="145">
        <v>9.49</v>
      </c>
      <c r="H3" s="2">
        <f>(G3-F3)/F3*100</f>
        <v>15.873015873015884</v>
      </c>
      <c r="J3" s="145">
        <v>18.87</v>
      </c>
      <c r="K3" s="145">
        <v>20.23</v>
      </c>
      <c r="L3">
        <f>(K3-J3)/J3*100</f>
        <v>7.2072072072072046</v>
      </c>
      <c r="N3" s="145">
        <v>613.34</v>
      </c>
      <c r="O3" s="145">
        <v>655.23</v>
      </c>
      <c r="P3">
        <f t="shared" ref="P3" si="0">(O3-N3)/N3*100</f>
        <v>6.8298170672057887</v>
      </c>
      <c r="R3" s="148" t="s">
        <v>369</v>
      </c>
      <c r="S3" s="148" t="s">
        <v>369</v>
      </c>
      <c r="V3" s="145">
        <v>77.040000000000006</v>
      </c>
      <c r="W3" s="145">
        <v>79.3</v>
      </c>
      <c r="X3">
        <f t="shared" ref="X3" si="1">(W3-V3)/V3*100</f>
        <v>2.9335410176531553</v>
      </c>
      <c r="Z3" s="145">
        <v>14.51</v>
      </c>
      <c r="AA3" s="145">
        <v>17.420000000000002</v>
      </c>
      <c r="AB3">
        <f t="shared" ref="AB3" si="2">(AA3-Z3)/Z3*100</f>
        <v>20.055134390075825</v>
      </c>
    </row>
    <row r="4" spans="1:31" s="200" customFormat="1" x14ac:dyDescent="0.25">
      <c r="A4" s="199" t="s">
        <v>12</v>
      </c>
      <c r="B4" s="204"/>
      <c r="C4" s="199" t="s">
        <v>297</v>
      </c>
      <c r="D4" s="205"/>
      <c r="E4" s="206"/>
      <c r="F4" s="199"/>
      <c r="G4" s="199" t="s">
        <v>297</v>
      </c>
      <c r="J4" s="201"/>
      <c r="K4" s="199" t="s">
        <v>297</v>
      </c>
      <c r="N4" s="201"/>
      <c r="O4" s="199" t="s">
        <v>297</v>
      </c>
      <c r="R4" s="201"/>
      <c r="S4" s="199" t="s">
        <v>297</v>
      </c>
      <c r="V4" s="201"/>
      <c r="W4" s="199" t="s">
        <v>297</v>
      </c>
      <c r="Z4" s="201"/>
      <c r="AA4" s="199" t="s">
        <v>297</v>
      </c>
    </row>
    <row r="5" spans="1:31" x14ac:dyDescent="0.25">
      <c r="A5" s="142" t="s">
        <v>13</v>
      </c>
      <c r="B5" s="143">
        <v>4.3311999999999999</v>
      </c>
      <c r="C5" s="143">
        <v>2.9064000000000001</v>
      </c>
      <c r="D5" s="144">
        <f>(C5-B5)/B5*100</f>
        <v>-32.896195049870705</v>
      </c>
      <c r="E5" s="144"/>
      <c r="F5" s="145">
        <v>7.09</v>
      </c>
      <c r="G5" s="145">
        <v>4.8499999999999996</v>
      </c>
      <c r="H5">
        <f>(G5-F5)/F5*100</f>
        <v>-31.593794076163618</v>
      </c>
      <c r="J5" s="148">
        <v>15.02</v>
      </c>
      <c r="K5" s="148">
        <v>13.9</v>
      </c>
      <c r="L5">
        <f>(K5-J5)/J5*100</f>
        <v>-7.456724367509981</v>
      </c>
      <c r="N5" s="145">
        <v>368.79</v>
      </c>
      <c r="O5" s="145">
        <v>340.84</v>
      </c>
      <c r="P5">
        <f t="shared" ref="P5:P6" si="3">(O5-N5)/N5*100</f>
        <v>-7.578838905610251</v>
      </c>
      <c r="R5" s="148" t="s">
        <v>369</v>
      </c>
      <c r="S5" s="148" t="s">
        <v>369</v>
      </c>
      <c r="V5" s="148">
        <v>318.83</v>
      </c>
      <c r="W5" s="148">
        <v>252.88</v>
      </c>
      <c r="X5">
        <f t="shared" ref="X5:X6" si="4">(W5-V5)/V5*100</f>
        <v>-20.685004547878176</v>
      </c>
      <c r="Z5" s="148">
        <v>12.05</v>
      </c>
      <c r="AA5" s="148">
        <v>9.49</v>
      </c>
      <c r="AB5">
        <f t="shared" ref="AB5:AB7" si="5">(AA5-Z5)/Z5*100</f>
        <v>-21.244813278008301</v>
      </c>
    </row>
    <row r="6" spans="1:31" x14ac:dyDescent="0.25">
      <c r="A6" s="142" t="s">
        <v>14</v>
      </c>
      <c r="B6" s="143">
        <v>3.5960000000000001</v>
      </c>
      <c r="C6" s="143">
        <v>2.5811000000000002</v>
      </c>
      <c r="D6" s="144">
        <f t="shared" ref="D6:D15" si="6">(C6-B6)/B6*100</f>
        <v>-28.223025583982199</v>
      </c>
      <c r="E6" s="144"/>
      <c r="F6" s="145">
        <v>12.04</v>
      </c>
      <c r="G6" s="145">
        <v>4.8499999999999996</v>
      </c>
      <c r="H6" s="2">
        <f t="shared" ref="H6:H7" si="7">(G6-F6)/F6*100</f>
        <v>-59.717607973421927</v>
      </c>
      <c r="J6" s="148">
        <v>46.45</v>
      </c>
      <c r="K6" s="148">
        <v>30.57</v>
      </c>
      <c r="L6" s="2">
        <f t="shared" ref="L6:L7" si="8">(K6-J6)/J6*100</f>
        <v>-34.187298170075351</v>
      </c>
      <c r="N6" s="145">
        <v>668.8</v>
      </c>
      <c r="O6" s="145">
        <v>736.54</v>
      </c>
      <c r="P6">
        <f t="shared" si="3"/>
        <v>10.128588516746413</v>
      </c>
      <c r="R6" s="148">
        <v>4.43</v>
      </c>
      <c r="S6" s="148" t="s">
        <v>369</v>
      </c>
      <c r="V6" s="148">
        <v>122.31</v>
      </c>
      <c r="W6" s="148">
        <v>127.92</v>
      </c>
      <c r="X6">
        <f t="shared" si="4"/>
        <v>4.5867059112092221</v>
      </c>
      <c r="Z6" s="148">
        <v>16.239999999999998</v>
      </c>
      <c r="AA6" s="148">
        <v>6.69</v>
      </c>
      <c r="AB6" s="2">
        <f t="shared" si="5"/>
        <v>-58.805418719211808</v>
      </c>
    </row>
    <row r="7" spans="1:31" x14ac:dyDescent="0.25">
      <c r="A7" s="142" t="s">
        <v>15</v>
      </c>
      <c r="B7" s="143">
        <v>0.1956</v>
      </c>
      <c r="C7" s="143">
        <v>0.48930000000000001</v>
      </c>
      <c r="D7" s="144">
        <f t="shared" si="6"/>
        <v>150.15337423312886</v>
      </c>
      <c r="E7" s="144"/>
      <c r="F7" s="145">
        <v>8.73</v>
      </c>
      <c r="G7" s="145">
        <v>9.92</v>
      </c>
      <c r="H7" s="2">
        <f t="shared" si="7"/>
        <v>13.631156930125995</v>
      </c>
      <c r="J7" s="148">
        <v>9.0299999999999994</v>
      </c>
      <c r="K7" s="148">
        <v>13.62</v>
      </c>
      <c r="L7" s="2">
        <f t="shared" si="8"/>
        <v>50.830564784053159</v>
      </c>
      <c r="N7" s="148" t="s">
        <v>368</v>
      </c>
      <c r="O7" s="148" t="s">
        <v>368</v>
      </c>
      <c r="R7" s="148">
        <v>3.2</v>
      </c>
      <c r="S7" s="148">
        <v>4.0999999999999996</v>
      </c>
      <c r="T7">
        <f t="shared" ref="T7" si="9">(S7-R7)/R7*100</f>
        <v>28.124999999999982</v>
      </c>
      <c r="V7" s="148" t="s">
        <v>370</v>
      </c>
      <c r="W7" s="148" t="s">
        <v>370</v>
      </c>
      <c r="Z7" s="148">
        <v>14.13</v>
      </c>
      <c r="AA7" s="148">
        <v>15.59</v>
      </c>
      <c r="AB7" s="2">
        <f t="shared" si="5"/>
        <v>10.332625619249816</v>
      </c>
    </row>
    <row r="8" spans="1:31" s="200" customFormat="1" x14ac:dyDescent="0.25">
      <c r="A8" s="199" t="s">
        <v>16</v>
      </c>
      <c r="B8" s="200" t="s">
        <v>297</v>
      </c>
      <c r="C8" s="200" t="s">
        <v>297</v>
      </c>
      <c r="D8" s="200" t="s">
        <v>297</v>
      </c>
      <c r="F8" s="201" t="s">
        <v>297</v>
      </c>
      <c r="G8" s="201" t="s">
        <v>297</v>
      </c>
      <c r="H8" s="200" t="s">
        <v>297</v>
      </c>
      <c r="J8" s="201" t="s">
        <v>297</v>
      </c>
      <c r="K8" s="201" t="s">
        <v>297</v>
      </c>
      <c r="L8" s="200" t="s">
        <v>297</v>
      </c>
      <c r="N8" s="201" t="s">
        <v>297</v>
      </c>
      <c r="O8" s="201" t="s">
        <v>297</v>
      </c>
      <c r="P8" s="200" t="s">
        <v>297</v>
      </c>
      <c r="R8" s="201" t="s">
        <v>297</v>
      </c>
      <c r="S8" s="201" t="s">
        <v>297</v>
      </c>
      <c r="T8" s="200" t="s">
        <v>297</v>
      </c>
      <c r="V8" s="201" t="s">
        <v>297</v>
      </c>
      <c r="W8" s="201" t="s">
        <v>297</v>
      </c>
      <c r="X8" s="200" t="s">
        <v>297</v>
      </c>
      <c r="Z8" s="201" t="s">
        <v>297</v>
      </c>
      <c r="AA8" s="201" t="s">
        <v>297</v>
      </c>
      <c r="AB8" s="200" t="s">
        <v>297</v>
      </c>
    </row>
    <row r="9" spans="1:31" x14ac:dyDescent="0.25">
      <c r="A9" s="146" t="s">
        <v>112</v>
      </c>
      <c r="B9" s="143">
        <v>7.6176000000000004</v>
      </c>
      <c r="C9" s="143">
        <v>1.2863</v>
      </c>
      <c r="D9" s="144">
        <f t="shared" si="6"/>
        <v>-83.114104179794168</v>
      </c>
      <c r="E9" s="144"/>
      <c r="F9" s="145">
        <v>5.53</v>
      </c>
      <c r="G9" s="145">
        <v>9.27</v>
      </c>
      <c r="H9">
        <f>(G9-F9)/F9*100</f>
        <v>67.631103074141024</v>
      </c>
      <c r="J9" s="148">
        <v>4.18</v>
      </c>
      <c r="K9" s="148">
        <v>8.4499999999999993</v>
      </c>
      <c r="L9">
        <f>(K9-J9)/J9*100</f>
        <v>102.15311004784688</v>
      </c>
      <c r="N9" s="148" t="s">
        <v>368</v>
      </c>
      <c r="O9" s="148">
        <v>18.28</v>
      </c>
      <c r="R9" s="148" t="s">
        <v>369</v>
      </c>
      <c r="S9" s="148">
        <v>4.22</v>
      </c>
      <c r="V9" s="148" t="s">
        <v>370</v>
      </c>
      <c r="W9" s="148" t="s">
        <v>370</v>
      </c>
      <c r="Z9" s="148">
        <v>15.54</v>
      </c>
      <c r="AA9" s="148">
        <v>18.7</v>
      </c>
      <c r="AB9">
        <f t="shared" ref="AB9:AB15" si="10">(AA9-Z9)/Z9*100</f>
        <v>20.334620334620336</v>
      </c>
    </row>
    <row r="10" spans="1:31" x14ac:dyDescent="0.25">
      <c r="A10" s="146" t="s">
        <v>113</v>
      </c>
      <c r="B10" s="143">
        <v>1.3560000000000001</v>
      </c>
      <c r="C10" s="143">
        <v>0.54890000000000005</v>
      </c>
      <c r="D10" s="144">
        <f t="shared" si="6"/>
        <v>-59.520648967551622</v>
      </c>
      <c r="E10" s="144"/>
      <c r="F10" s="145">
        <v>8.19</v>
      </c>
      <c r="G10" s="145">
        <v>5.31</v>
      </c>
      <c r="H10" s="2">
        <f t="shared" ref="H10:H15" si="11">(G10-F10)/F10*100</f>
        <v>-35.164835164835168</v>
      </c>
      <c r="J10" s="148">
        <v>19.010000000000002</v>
      </c>
      <c r="K10" s="148">
        <v>12.2</v>
      </c>
      <c r="L10" s="2">
        <f t="shared" ref="L10:L15" si="12">(K10-J10)/J10*100</f>
        <v>-35.823250920568135</v>
      </c>
      <c r="N10" s="148" t="s">
        <v>368</v>
      </c>
      <c r="O10" s="148" t="s">
        <v>368</v>
      </c>
      <c r="R10" s="148">
        <v>2.2999999999999998</v>
      </c>
      <c r="S10" s="148" t="s">
        <v>369</v>
      </c>
      <c r="V10" s="148" t="s">
        <v>370</v>
      </c>
      <c r="W10" s="148" t="s">
        <v>370</v>
      </c>
      <c r="Z10" s="148">
        <v>18.64</v>
      </c>
      <c r="AA10" s="148">
        <v>13.2</v>
      </c>
      <c r="AB10" s="2">
        <f t="shared" si="10"/>
        <v>-29.184549356223183</v>
      </c>
    </row>
    <row r="11" spans="1:31" x14ac:dyDescent="0.25">
      <c r="A11" s="146" t="s">
        <v>114</v>
      </c>
      <c r="B11" s="143">
        <v>4.8808999999999996</v>
      </c>
      <c r="C11" s="143">
        <v>0.69350000000000001</v>
      </c>
      <c r="D11" s="144">
        <f t="shared" si="6"/>
        <v>-85.79155483619823</v>
      </c>
      <c r="E11" s="144"/>
      <c r="F11" s="145">
        <v>5.76</v>
      </c>
      <c r="G11" s="145">
        <v>2.74</v>
      </c>
      <c r="H11" s="2">
        <f t="shared" si="11"/>
        <v>-52.43055555555555</v>
      </c>
      <c r="J11" s="148">
        <v>19.14</v>
      </c>
      <c r="K11" s="148">
        <v>10.63</v>
      </c>
      <c r="L11" s="2">
        <f t="shared" si="12"/>
        <v>-44.461859979101355</v>
      </c>
      <c r="N11" s="148" t="s">
        <v>368</v>
      </c>
      <c r="O11" s="148" t="s">
        <v>368</v>
      </c>
      <c r="R11" s="148" t="s">
        <v>369</v>
      </c>
      <c r="S11" s="148" t="s">
        <v>369</v>
      </c>
      <c r="V11" s="148" t="s">
        <v>370</v>
      </c>
      <c r="W11" s="148" t="s">
        <v>370</v>
      </c>
      <c r="Z11" s="148">
        <v>16.670000000000002</v>
      </c>
      <c r="AA11" s="148">
        <v>12.22</v>
      </c>
      <c r="AB11" s="2">
        <f t="shared" si="10"/>
        <v>-26.694661067786445</v>
      </c>
    </row>
    <row r="12" spans="1:31" x14ac:dyDescent="0.25">
      <c r="A12" s="146" t="s">
        <v>115</v>
      </c>
      <c r="B12" s="143">
        <v>3.3010999999999999</v>
      </c>
      <c r="C12" s="143">
        <v>0.3448</v>
      </c>
      <c r="D12" s="144">
        <f t="shared" si="6"/>
        <v>-89.554996819242064</v>
      </c>
      <c r="E12" s="144"/>
      <c r="F12" s="145">
        <v>10.34</v>
      </c>
      <c r="G12" s="145">
        <v>7.09</v>
      </c>
      <c r="H12" s="2">
        <f t="shared" si="11"/>
        <v>-31.431334622823986</v>
      </c>
      <c r="J12" s="148">
        <v>18.87</v>
      </c>
      <c r="K12" s="148">
        <v>23.19</v>
      </c>
      <c r="L12" s="2">
        <f t="shared" si="12"/>
        <v>22.893481717011131</v>
      </c>
      <c r="N12" s="145">
        <v>274.58</v>
      </c>
      <c r="O12" s="145">
        <v>285.41000000000003</v>
      </c>
      <c r="P12">
        <f t="shared" ref="P12" si="13">(O12-N12)/N12*100</f>
        <v>3.9442056959720451</v>
      </c>
      <c r="R12" s="148" t="s">
        <v>369</v>
      </c>
      <c r="S12" s="148" t="s">
        <v>369</v>
      </c>
      <c r="V12" s="145">
        <v>23.49</v>
      </c>
      <c r="W12" s="145">
        <v>22.2</v>
      </c>
      <c r="X12">
        <f t="shared" ref="X12" si="14">(W12-V12)/V12*100</f>
        <v>-5.4916985951468673</v>
      </c>
      <c r="Z12" s="145">
        <v>12.33</v>
      </c>
      <c r="AA12" s="145">
        <v>12.11</v>
      </c>
      <c r="AB12" s="2">
        <f t="shared" si="10"/>
        <v>-1.7842660178426655</v>
      </c>
    </row>
    <row r="13" spans="1:31" x14ac:dyDescent="0.25">
      <c r="A13" s="146" t="s">
        <v>117</v>
      </c>
      <c r="B13" s="143">
        <v>2.1819999999999999E-2</v>
      </c>
      <c r="C13" s="143">
        <v>0.34720000000000001</v>
      </c>
      <c r="D13" s="144">
        <f>(C13-B13)/B13*100</f>
        <v>1491.2007332722274</v>
      </c>
      <c r="E13" s="144"/>
      <c r="F13" s="145">
        <v>27.03</v>
      </c>
      <c r="G13" s="145">
        <v>21.32</v>
      </c>
      <c r="H13" s="2">
        <f t="shared" si="11"/>
        <v>-21.124676285608583</v>
      </c>
      <c r="J13" s="148">
        <v>21.98</v>
      </c>
      <c r="K13" s="148">
        <v>32.130000000000003</v>
      </c>
      <c r="L13" s="2">
        <f t="shared" si="12"/>
        <v>46.178343949044596</v>
      </c>
      <c r="N13" s="148" t="s">
        <v>368</v>
      </c>
      <c r="O13" s="148">
        <v>14.65</v>
      </c>
      <c r="R13" s="148">
        <v>3.98</v>
      </c>
      <c r="S13" s="148">
        <v>6.81</v>
      </c>
      <c r="T13">
        <f t="shared" ref="T13:T14" si="15">(S13-R13)/R13*100</f>
        <v>71.105527638190949</v>
      </c>
      <c r="V13" s="148" t="s">
        <v>370</v>
      </c>
      <c r="W13" s="148" t="s">
        <v>370</v>
      </c>
      <c r="Z13" s="148">
        <v>19.329999999999998</v>
      </c>
      <c r="AA13" s="148">
        <v>25.1</v>
      </c>
      <c r="AB13" s="2">
        <f t="shared" si="10"/>
        <v>29.849974133471306</v>
      </c>
    </row>
    <row r="14" spans="1:31" x14ac:dyDescent="0.25">
      <c r="A14" s="146" t="s">
        <v>121</v>
      </c>
      <c r="B14" s="143">
        <v>2.6347999999999998</v>
      </c>
      <c r="C14" s="143">
        <v>0.60099999999999998</v>
      </c>
      <c r="D14" s="144">
        <f t="shared" si="6"/>
        <v>-77.189919538484901</v>
      </c>
      <c r="E14" s="144"/>
      <c r="F14" s="145">
        <v>88.62</v>
      </c>
      <c r="G14" s="145">
        <v>94.95</v>
      </c>
      <c r="H14" s="2">
        <f t="shared" si="11"/>
        <v>7.1428571428571415</v>
      </c>
      <c r="J14" s="148">
        <v>19.690000000000001</v>
      </c>
      <c r="K14" s="148">
        <v>20.77</v>
      </c>
      <c r="L14" s="2">
        <f t="shared" si="12"/>
        <v>5.4850177755205598</v>
      </c>
      <c r="N14" s="145">
        <v>151.74</v>
      </c>
      <c r="O14" s="145">
        <v>86.48</v>
      </c>
      <c r="P14">
        <f t="shared" ref="P14:P15" si="16">(O14-N14)/N14*100</f>
        <v>-43.007776459733755</v>
      </c>
      <c r="R14" s="148">
        <v>8.6999999999999993</v>
      </c>
      <c r="S14" s="148">
        <v>8.31</v>
      </c>
      <c r="T14">
        <f t="shared" si="15"/>
        <v>-4.4827586206896424</v>
      </c>
      <c r="V14" s="145">
        <v>9.25</v>
      </c>
      <c r="W14" s="145">
        <v>6.1</v>
      </c>
      <c r="X14">
        <f t="shared" ref="X14" si="17">(W14-V14)/V14*100</f>
        <v>-34.054054054054056</v>
      </c>
      <c r="Z14" s="148">
        <v>43.35</v>
      </c>
      <c r="AA14" s="148">
        <v>31.99</v>
      </c>
      <c r="AB14" s="2">
        <f t="shared" si="10"/>
        <v>-26.20530565167244</v>
      </c>
    </row>
    <row r="15" spans="1:31" x14ac:dyDescent="0.25">
      <c r="A15" s="146" t="s">
        <v>122</v>
      </c>
      <c r="B15" s="143">
        <v>3.5672000000000001</v>
      </c>
      <c r="C15" s="143">
        <v>5.1292</v>
      </c>
      <c r="D15" s="144">
        <f t="shared" si="6"/>
        <v>43.787844808252963</v>
      </c>
      <c r="E15" s="144"/>
      <c r="F15" s="145">
        <v>8.41</v>
      </c>
      <c r="G15" s="145">
        <v>4.3899999999999997</v>
      </c>
      <c r="H15" s="2">
        <f t="shared" si="11"/>
        <v>-47.800237812128422</v>
      </c>
      <c r="J15" s="148">
        <v>40.11</v>
      </c>
      <c r="K15" s="148">
        <v>25.58</v>
      </c>
      <c r="L15" s="2">
        <f t="shared" si="12"/>
        <v>-36.225380204437805</v>
      </c>
      <c r="N15" s="145">
        <v>54.48</v>
      </c>
      <c r="O15" s="145">
        <v>10.25</v>
      </c>
      <c r="P15">
        <f t="shared" si="16"/>
        <v>-81.185756240822315</v>
      </c>
      <c r="R15" s="148">
        <v>4.34</v>
      </c>
      <c r="S15" s="148" t="s">
        <v>369</v>
      </c>
      <c r="V15" s="148" t="s">
        <v>370</v>
      </c>
      <c r="W15" s="148" t="s">
        <v>370</v>
      </c>
      <c r="Z15" s="148">
        <v>21.5</v>
      </c>
      <c r="AA15" s="148">
        <v>13.26</v>
      </c>
      <c r="AB15" s="2">
        <f t="shared" si="10"/>
        <v>-38.325581395348841</v>
      </c>
    </row>
    <row r="16" spans="1:31" s="200" customFormat="1" x14ac:dyDescent="0.25">
      <c r="A16" s="199" t="s">
        <v>123</v>
      </c>
      <c r="B16" s="201" t="s">
        <v>184</v>
      </c>
      <c r="C16" s="201" t="s">
        <v>184</v>
      </c>
      <c r="D16" s="201"/>
      <c r="E16" s="201"/>
      <c r="F16" s="201" t="s">
        <v>184</v>
      </c>
      <c r="G16" s="202"/>
      <c r="H16" s="203"/>
      <c r="I16" s="203"/>
      <c r="J16" s="201" t="s">
        <v>184</v>
      </c>
      <c r="K16" s="202"/>
      <c r="L16" s="203"/>
      <c r="N16" s="201" t="s">
        <v>184</v>
      </c>
      <c r="O16" s="202"/>
      <c r="P16" s="203"/>
      <c r="R16" s="201" t="s">
        <v>184</v>
      </c>
      <c r="S16" s="202"/>
      <c r="T16" s="203"/>
      <c r="V16" s="201" t="s">
        <v>184</v>
      </c>
      <c r="W16" s="202"/>
      <c r="X16" s="203"/>
      <c r="Z16" s="201" t="s">
        <v>184</v>
      </c>
      <c r="AA16" s="202"/>
      <c r="AB16" s="203"/>
    </row>
    <row r="17" spans="1:31" x14ac:dyDescent="0.25">
      <c r="A17" s="151" t="s">
        <v>17</v>
      </c>
      <c r="B17" s="152">
        <f>AVERAGE(B2,B5:B7,B9:B15)</f>
        <v>3.0149927272727282</v>
      </c>
      <c r="C17" s="152">
        <f t="shared" ref="C17" si="18">AVERAGE(C2,C5:C7,C9:C15)</f>
        <v>1.5123545454545457</v>
      </c>
      <c r="D17" s="152">
        <f>(C17-B17)/B17*100</f>
        <v>-49.838865886002445</v>
      </c>
      <c r="F17">
        <f>AVERAGE(F2:F3,F5:F7,F9:F15)</f>
        <v>17.721666666666668</v>
      </c>
      <c r="G17" s="2">
        <f t="shared" ref="G17" si="19">AVERAGE(G2:G3,G5:G7,G9:G15)</f>
        <v>16.775833333333335</v>
      </c>
      <c r="H17" s="2">
        <f>(G17-F17)/F17*100</f>
        <v>-5.3371579046365056</v>
      </c>
      <c r="J17">
        <f>AVERAGE(J2:J3,J5:J7,J9:J15)</f>
        <v>22.683333333333334</v>
      </c>
      <c r="K17" s="2">
        <f t="shared" ref="K17" si="20">AVERAGE(K2:K3,K5:K7,K9:K15)</f>
        <v>21.434166666666666</v>
      </c>
      <c r="L17" s="2">
        <f>(K17-J17)/J17*100</f>
        <v>-5.5069801616458518</v>
      </c>
      <c r="M17" s="142"/>
      <c r="N17">
        <f>AVERAGE(N2:N3,N5:N6,N12,N14:N15)</f>
        <v>309.36857142857144</v>
      </c>
      <c r="O17" s="2">
        <f t="shared" ref="O17" si="21">AVERAGE(O2:O3,O5:O6,O12,O14:O15)</f>
        <v>311.1142857142857</v>
      </c>
      <c r="P17" s="2">
        <f>(O17-N17)/N17*100</f>
        <v>0.5642830096325141</v>
      </c>
      <c r="R17">
        <f>AVERAGE(R2,R7,R13,R14)</f>
        <v>6.5875000000000004</v>
      </c>
      <c r="S17" s="2">
        <f t="shared" ref="S17" si="22">AVERAGE(S2,S7,S13,S14)</f>
        <v>8.1024999999999991</v>
      </c>
      <c r="T17" s="2">
        <f>(S17-R17)/R17*100</f>
        <v>22.998102466793149</v>
      </c>
      <c r="V17">
        <f>AVERAGE(V2:V3,V5:V6,V12,V14)</f>
        <v>92.08</v>
      </c>
      <c r="W17" s="2">
        <f t="shared" ref="W17" si="23">AVERAGE(W2:W3,W5:W6,W12,W14)</f>
        <v>82.273333333333326</v>
      </c>
      <c r="X17" s="2">
        <f>(W17-V17)/V17*100</f>
        <v>-10.650159281783962</v>
      </c>
      <c r="Z17">
        <f>AVERAGE(Z2:Z3,Z5:Z7,Z9:Z15)</f>
        <v>19.288333333333334</v>
      </c>
      <c r="AA17" s="2">
        <f t="shared" ref="AA17" si="24">AVERAGE(AA2:AA3,AA5:AA7,AA9:AA15)</f>
        <v>17.236666666666668</v>
      </c>
      <c r="AB17" s="2">
        <f>(AA17-Z17)/Z17*100</f>
        <v>-10.636827097554649</v>
      </c>
    </row>
    <row r="18" spans="1:31" x14ac:dyDescent="0.25">
      <c r="A18" s="151" t="s">
        <v>153</v>
      </c>
      <c r="B18" s="152">
        <f>STDEV(B2,B5:B7,B9:B15)</f>
        <v>2.2080743253300636</v>
      </c>
      <c r="C18" s="152">
        <f t="shared" ref="C18:D18" si="25">STDEV(C2,C5:C7,C9:C15)</f>
        <v>1.4984442127511028</v>
      </c>
      <c r="D18" s="152">
        <f t="shared" si="25"/>
        <v>463.02556380847494</v>
      </c>
      <c r="F18">
        <f>STDEV(F2:F3,F5:F7,F9:F15)</f>
        <v>23.314228130764555</v>
      </c>
      <c r="G18" s="2">
        <f t="shared" ref="G18:H18" si="26">STDEV(G2:G3,G5:G7,G9:G15)</f>
        <v>25.68272693618783</v>
      </c>
      <c r="H18" s="2">
        <f t="shared" si="26"/>
        <v>37.764919318925884</v>
      </c>
      <c r="J18">
        <f>STDEV(J2:J3,J5:J7,J9:J15)</f>
        <v>12.846426693360254</v>
      </c>
      <c r="K18" s="2">
        <f t="shared" ref="K18:L18" si="27">STDEV(K2:K3,K5:K7,K9:K15)</f>
        <v>10.908609992556205</v>
      </c>
      <c r="L18" s="2">
        <f t="shared" si="27"/>
        <v>43.780985913571214</v>
      </c>
      <c r="M18" s="142"/>
      <c r="N18">
        <f>STDEV(N2:N3,N5:N6,N12,N14:N15)</f>
        <v>255.62217094953323</v>
      </c>
      <c r="O18" s="2">
        <f t="shared" ref="O18:P18" si="28">STDEV(O2:O3,O5:O6,O12,O14:O15)</f>
        <v>289.67302318632437</v>
      </c>
      <c r="P18" s="2">
        <f t="shared" si="28"/>
        <v>51.668524926855724</v>
      </c>
      <c r="R18">
        <f>STDEV(R2,R7,R13:R14)</f>
        <v>3.5501490579035306</v>
      </c>
      <c r="S18" s="2">
        <f t="shared" ref="S18:T18" si="29">STDEV(S2,S7,S13:S14)</f>
        <v>3.8129723751075542</v>
      </c>
      <c r="T18" s="2">
        <f t="shared" si="29"/>
        <v>31.082026781676646</v>
      </c>
      <c r="V18">
        <f>STDEV(V2:V3,V5:V6,V12,V14)</f>
        <v>120.26211739363313</v>
      </c>
      <c r="W18" s="2">
        <f t="shared" ref="W18:X18" si="30">STDEV(W2:W3,W5:W6,W12,W14)</f>
        <v>96.48254778283308</v>
      </c>
      <c r="X18" s="2">
        <f t="shared" si="30"/>
        <v>101.68779894777052</v>
      </c>
      <c r="Z18">
        <f>STDEV(Z2:Z3,Z5:Z7,Z9:Z15)</f>
        <v>8.6699521161866659</v>
      </c>
      <c r="AA18" s="2">
        <f t="shared" ref="AA18:AB18" si="31">STDEV(AA2:AA3,AA5:AA7,AA9:AA15)</f>
        <v>8.1494097202115672</v>
      </c>
      <c r="AB18" s="2">
        <f t="shared" si="31"/>
        <v>28.110620323987003</v>
      </c>
    </row>
    <row r="19" spans="1:31" x14ac:dyDescent="0.25">
      <c r="F19" s="50" t="s">
        <v>371</v>
      </c>
      <c r="G19" t="s">
        <v>457</v>
      </c>
      <c r="M19" s="142"/>
      <c r="N19" s="143"/>
      <c r="O19" s="143"/>
      <c r="P19" s="144"/>
      <c r="Q19" s="144"/>
      <c r="R19" s="145"/>
      <c r="S19" s="145"/>
    </row>
    <row r="20" spans="1:31" s="2" customFormat="1" x14ac:dyDescent="0.25">
      <c r="A20" s="217"/>
      <c r="B20" s="218"/>
      <c r="C20" s="219" t="s">
        <v>375</v>
      </c>
      <c r="D20" s="220"/>
      <c r="F20" s="292" t="s">
        <v>456</v>
      </c>
      <c r="G20" s="293"/>
      <c r="H20" s="50"/>
      <c r="I20" s="50"/>
      <c r="J20" s="50"/>
      <c r="K20" s="50" t="s">
        <v>371</v>
      </c>
      <c r="L20" s="50"/>
      <c r="M20" s="153"/>
      <c r="N20" s="154"/>
      <c r="O20" s="154" t="s">
        <v>374</v>
      </c>
      <c r="P20" s="155"/>
      <c r="Q20" s="155"/>
      <c r="R20" s="153"/>
      <c r="S20" s="153" t="s">
        <v>373</v>
      </c>
      <c r="T20" s="50"/>
      <c r="U20" s="50"/>
      <c r="V20" s="50"/>
      <c r="W20" s="50" t="s">
        <v>372</v>
      </c>
      <c r="X20" s="50"/>
      <c r="Y20" s="50"/>
      <c r="Z20" s="50"/>
      <c r="AA20" s="50" t="s">
        <v>371</v>
      </c>
      <c r="AB20" s="50"/>
      <c r="AE20" s="136"/>
    </row>
    <row r="21" spans="1:31" s="15" customFormat="1" x14ac:dyDescent="0.25">
      <c r="A21" s="221" t="s">
        <v>450</v>
      </c>
      <c r="B21" s="76">
        <v>5.3999999999999999E-2</v>
      </c>
      <c r="C21" s="76"/>
      <c r="D21" s="222"/>
      <c r="F21" s="15">
        <f>AVERAGE(F2:F3,F5:F7,F9:F13,F15)</f>
        <v>11.276363636363637</v>
      </c>
      <c r="G21" s="15">
        <f>AVERAGE(G2:G3,G5:G7,G9:G13,G15)</f>
        <v>9.6690909090909098</v>
      </c>
      <c r="M21" s="142"/>
      <c r="N21" s="143"/>
      <c r="O21" s="143"/>
      <c r="P21" s="144"/>
      <c r="Q21" s="144"/>
      <c r="R21" s="145"/>
      <c r="S21" s="145"/>
      <c r="AE21" s="196"/>
    </row>
    <row r="22" spans="1:31" s="15" customFormat="1" x14ac:dyDescent="0.25">
      <c r="A22" s="221" t="s">
        <v>449</v>
      </c>
      <c r="B22" s="76">
        <v>1.50264</v>
      </c>
      <c r="C22" s="76"/>
      <c r="D22" s="222" t="s">
        <v>282</v>
      </c>
      <c r="F22" s="15">
        <f>STDEV(F2:F3,F5:F7,F9:F13,F15)</f>
        <v>7.0395358834617383</v>
      </c>
      <c r="G22" s="15">
        <f>STDEV(G2:G3,G5:G7,G9:G13,G15)</f>
        <v>7.6737415314114568</v>
      </c>
      <c r="H22" s="293"/>
      <c r="I22" s="293"/>
      <c r="J22" s="293"/>
      <c r="K22" s="293"/>
      <c r="L22" s="293"/>
      <c r="M22" s="293"/>
      <c r="N22" s="143"/>
      <c r="O22" s="143"/>
      <c r="P22" s="144"/>
      <c r="Q22" s="144"/>
      <c r="R22" s="145"/>
      <c r="S22" s="145"/>
      <c r="AE22" s="196"/>
    </row>
    <row r="23" spans="1:31" s="15" customFormat="1" x14ac:dyDescent="0.25">
      <c r="A23" s="223" t="s">
        <v>463</v>
      </c>
      <c r="B23" s="224">
        <v>2.28044</v>
      </c>
      <c r="C23" s="224"/>
      <c r="D23" s="225">
        <f>B22/B23</f>
        <v>0.65892547052323236</v>
      </c>
      <c r="G23" s="15" t="s">
        <v>459</v>
      </c>
      <c r="H23" s="207"/>
      <c r="I23" s="297" t="s">
        <v>451</v>
      </c>
      <c r="J23" s="297"/>
      <c r="K23" s="297" t="s">
        <v>461</v>
      </c>
      <c r="L23" s="297"/>
      <c r="M23" s="297" t="s">
        <v>462</v>
      </c>
      <c r="N23" s="297"/>
      <c r="O23" s="143"/>
      <c r="P23" s="212"/>
      <c r="Q23" s="301" t="s">
        <v>452</v>
      </c>
      <c r="R23" s="301"/>
      <c r="S23" s="302" t="s">
        <v>453</v>
      </c>
      <c r="T23" s="303"/>
      <c r="AE23" s="196"/>
    </row>
    <row r="24" spans="1:31" s="2" customFormat="1" x14ac:dyDescent="0.25">
      <c r="H24" s="208"/>
      <c r="I24" s="208" t="s">
        <v>454</v>
      </c>
      <c r="J24" s="208" t="s">
        <v>455</v>
      </c>
      <c r="K24" s="208" t="s">
        <v>454</v>
      </c>
      <c r="L24" s="208" t="s">
        <v>455</v>
      </c>
      <c r="M24" s="208" t="s">
        <v>454</v>
      </c>
      <c r="N24" s="208" t="s">
        <v>455</v>
      </c>
      <c r="O24" s="143"/>
      <c r="P24" s="213" t="s">
        <v>460</v>
      </c>
      <c r="Q24" s="214">
        <v>7.0395358834617383</v>
      </c>
      <c r="R24" s="215">
        <v>7.6737415314114568</v>
      </c>
      <c r="S24" s="215">
        <v>8.6699521161866659</v>
      </c>
      <c r="T24" s="216">
        <v>8.1494097202115672</v>
      </c>
      <c r="AE24" s="136"/>
    </row>
    <row r="25" spans="1:31" s="2" customFormat="1" x14ac:dyDescent="0.25">
      <c r="H25" s="209" t="s">
        <v>17</v>
      </c>
      <c r="I25" s="210">
        <v>3.0149927272727282</v>
      </c>
      <c r="J25" s="211">
        <v>1.5123545454545457</v>
      </c>
      <c r="K25" s="211">
        <v>11.276363636363637</v>
      </c>
      <c r="L25" s="211">
        <v>9.6690909090909098</v>
      </c>
      <c r="M25" s="211">
        <v>19.288333333333334</v>
      </c>
      <c r="N25" s="208">
        <v>17.236666666666668</v>
      </c>
      <c r="O25" s="143"/>
      <c r="P25" s="144"/>
      <c r="Q25" s="144"/>
      <c r="R25" s="145"/>
      <c r="S25" s="145"/>
      <c r="AE25" s="136"/>
    </row>
    <row r="26" spans="1:31" s="2" customFormat="1" x14ac:dyDescent="0.25">
      <c r="H26" s="209" t="s">
        <v>450</v>
      </c>
      <c r="I26" s="288">
        <v>5.3999999999999999E-2</v>
      </c>
      <c r="J26" s="289"/>
      <c r="K26" s="290">
        <v>0.187</v>
      </c>
      <c r="L26" s="291"/>
      <c r="M26" s="290">
        <v>0.24199999999999999</v>
      </c>
      <c r="N26" s="291"/>
      <c r="O26" s="143"/>
      <c r="P26" s="144"/>
      <c r="Q26" s="144"/>
      <c r="R26" s="145"/>
      <c r="S26" s="145"/>
      <c r="AE26" s="136"/>
    </row>
    <row r="27" spans="1:31" x14ac:dyDescent="0.25">
      <c r="H27" s="230" t="s">
        <v>458</v>
      </c>
      <c r="I27" s="294">
        <v>2.28044</v>
      </c>
      <c r="J27" s="294"/>
      <c r="K27" s="295">
        <v>3.7615500000000002</v>
      </c>
      <c r="L27" s="295"/>
      <c r="M27" s="296">
        <v>5.7423799999999998</v>
      </c>
      <c r="N27" s="296"/>
    </row>
    <row r="28" spans="1:31" x14ac:dyDescent="0.25">
      <c r="H28" s="230" t="s">
        <v>449</v>
      </c>
      <c r="I28" s="294">
        <v>1.50264</v>
      </c>
      <c r="J28" s="294"/>
      <c r="K28" s="295">
        <v>1.60727</v>
      </c>
      <c r="L28" s="295"/>
      <c r="M28" s="296">
        <v>2.0516700000000001</v>
      </c>
      <c r="N28" s="296"/>
    </row>
    <row r="29" spans="1:31" x14ac:dyDescent="0.25">
      <c r="H29" s="230" t="s">
        <v>282</v>
      </c>
      <c r="I29" s="298">
        <f>I28/I27</f>
        <v>0.65892547052323236</v>
      </c>
      <c r="J29" s="298"/>
      <c r="K29" s="299">
        <f>K28/K27</f>
        <v>0.42728928234371466</v>
      </c>
      <c r="L29" s="299"/>
      <c r="M29" s="300">
        <f>M28/M27</f>
        <v>0.35728565507681487</v>
      </c>
      <c r="N29" s="300"/>
    </row>
    <row r="30" spans="1:31" x14ac:dyDescent="0.25">
      <c r="A30" s="217"/>
      <c r="B30" s="286" t="s">
        <v>464</v>
      </c>
      <c r="C30" s="286"/>
      <c r="D30" s="287"/>
      <c r="H30" s="143"/>
      <c r="I30" s="143"/>
      <c r="J30" s="145"/>
      <c r="K30" s="145"/>
      <c r="L30" s="148"/>
      <c r="M30" s="148"/>
      <c r="N30" s="147"/>
      <c r="O30" s="148"/>
      <c r="P30" s="149"/>
      <c r="Q30" s="148"/>
      <c r="R30" s="148"/>
      <c r="S30" s="148"/>
    </row>
    <row r="31" spans="1:31" x14ac:dyDescent="0.25">
      <c r="A31" s="221" t="s">
        <v>450</v>
      </c>
      <c r="B31" s="6">
        <v>4.8000000000000001E-2</v>
      </c>
      <c r="C31" s="5"/>
      <c r="D31" s="226"/>
      <c r="H31" s="143"/>
      <c r="I31" s="143"/>
      <c r="J31" s="145"/>
      <c r="K31" s="145"/>
      <c r="L31" s="148"/>
      <c r="M31" s="148"/>
    </row>
    <row r="32" spans="1:31" s="2" customFormat="1" x14ac:dyDescent="0.25">
      <c r="A32" s="221"/>
      <c r="B32" s="6" t="s">
        <v>454</v>
      </c>
      <c r="C32" s="5" t="s">
        <v>455</v>
      </c>
      <c r="D32" s="226"/>
      <c r="H32" s="143"/>
      <c r="I32" s="143"/>
      <c r="J32" s="145"/>
      <c r="K32" s="145"/>
      <c r="L32" s="148"/>
      <c r="M32" s="148"/>
      <c r="AE32" s="136"/>
    </row>
    <row r="33" spans="1:31" s="2" customFormat="1" x14ac:dyDescent="0.25">
      <c r="A33" s="221" t="s">
        <v>17</v>
      </c>
      <c r="B33" s="147">
        <f>AVERAGE(B5,B6,B9,B11,B12,B14,B15)</f>
        <v>4.2755428571428569</v>
      </c>
      <c r="C33" s="227">
        <f>AVERAGE(C5,C6,C9,C11,C12,C14,C15)</f>
        <v>1.9346142857142858</v>
      </c>
      <c r="D33" s="226"/>
      <c r="H33" s="143"/>
      <c r="I33" s="143"/>
      <c r="J33" s="145"/>
      <c r="K33" s="145"/>
      <c r="L33" s="148"/>
      <c r="M33" s="148"/>
      <c r="AE33" s="136"/>
    </row>
    <row r="34" spans="1:31" s="2" customFormat="1" x14ac:dyDescent="0.25">
      <c r="A34" s="221" t="s">
        <v>460</v>
      </c>
      <c r="B34" s="6">
        <f>STDEV(B5,B6,B9,B11,B12,B14,B15)</f>
        <v>1.6403254269170131</v>
      </c>
      <c r="C34" s="5">
        <f>STDEV(C5,C6,C9,C11,C12,C14,C15)</f>
        <v>1.7240650484910864</v>
      </c>
      <c r="D34" s="226"/>
      <c r="H34" s="143"/>
      <c r="I34" s="143"/>
      <c r="J34" s="145"/>
      <c r="K34" s="145"/>
      <c r="L34" s="148"/>
      <c r="M34" s="148"/>
      <c r="AE34" s="136"/>
    </row>
    <row r="35" spans="1:31" x14ac:dyDescent="0.25">
      <c r="A35" s="221" t="s">
        <v>449</v>
      </c>
      <c r="B35" s="6">
        <v>2.3409300000000002</v>
      </c>
      <c r="C35" s="5"/>
      <c r="D35" s="226" t="s">
        <v>282</v>
      </c>
      <c r="H35" s="143"/>
      <c r="I35" s="143"/>
      <c r="J35" s="145"/>
      <c r="K35" s="145"/>
      <c r="L35" s="148"/>
      <c r="M35" s="148"/>
    </row>
    <row r="36" spans="1:31" x14ac:dyDescent="0.25">
      <c r="A36" s="223" t="s">
        <v>463</v>
      </c>
      <c r="B36" s="228">
        <v>2.5045299999999999</v>
      </c>
      <c r="C36" s="229"/>
      <c r="D36" s="216">
        <f>B35/B36</f>
        <v>0.93467836280659455</v>
      </c>
      <c r="H36" s="143"/>
      <c r="I36" s="143"/>
      <c r="J36" s="145"/>
      <c r="K36" s="145"/>
      <c r="L36" s="145"/>
      <c r="M36" s="145"/>
    </row>
    <row r="37" spans="1:31" x14ac:dyDescent="0.25">
      <c r="H37" s="143"/>
      <c r="I37" s="143"/>
      <c r="J37" s="145"/>
      <c r="K37" s="145"/>
      <c r="L37" s="148"/>
      <c r="M37" s="148"/>
    </row>
    <row r="38" spans="1:31" x14ac:dyDescent="0.25">
      <c r="H38" s="143"/>
      <c r="I38" s="143"/>
      <c r="J38" s="145"/>
      <c r="K38" s="145"/>
      <c r="L38" s="148"/>
      <c r="M38" s="148"/>
    </row>
    <row r="39" spans="1:31" x14ac:dyDescent="0.25">
      <c r="J39" s="145"/>
      <c r="K39" s="145"/>
      <c r="L39" s="148"/>
      <c r="M39" s="148"/>
    </row>
    <row r="46" spans="1:31" x14ac:dyDescent="0.25">
      <c r="C46" t="s">
        <v>198</v>
      </c>
    </row>
    <row r="47" spans="1:31" x14ac:dyDescent="0.25">
      <c r="C47" t="s">
        <v>347</v>
      </c>
    </row>
    <row r="48" spans="1:31" x14ac:dyDescent="0.25">
      <c r="C48" t="s">
        <v>346</v>
      </c>
    </row>
    <row r="49" spans="3:3" x14ac:dyDescent="0.25">
      <c r="C49" t="s">
        <v>351</v>
      </c>
    </row>
    <row r="50" spans="3:3" x14ac:dyDescent="0.25">
      <c r="C50" t="s">
        <v>352</v>
      </c>
    </row>
    <row r="51" spans="3:3" x14ac:dyDescent="0.25">
      <c r="C51" t="s">
        <v>353</v>
      </c>
    </row>
    <row r="52" spans="3:3" x14ac:dyDescent="0.25">
      <c r="C52" t="s">
        <v>354</v>
      </c>
    </row>
    <row r="53" spans="3:3" x14ac:dyDescent="0.25">
      <c r="C53" t="s">
        <v>355</v>
      </c>
    </row>
    <row r="54" spans="3:3" x14ac:dyDescent="0.25">
      <c r="C54" t="s">
        <v>356</v>
      </c>
    </row>
  </sheetData>
  <mergeCells count="22">
    <mergeCell ref="I29:J29"/>
    <mergeCell ref="K29:L29"/>
    <mergeCell ref="M29:N29"/>
    <mergeCell ref="Q23:R23"/>
    <mergeCell ref="S23:T23"/>
    <mergeCell ref="M23:N23"/>
    <mergeCell ref="B30:D30"/>
    <mergeCell ref="I26:J26"/>
    <mergeCell ref="K26:L26"/>
    <mergeCell ref="M26:N26"/>
    <mergeCell ref="F20:G20"/>
    <mergeCell ref="I27:J27"/>
    <mergeCell ref="K27:L27"/>
    <mergeCell ref="M27:N27"/>
    <mergeCell ref="I28:J28"/>
    <mergeCell ref="K28:L28"/>
    <mergeCell ref="M28:N28"/>
    <mergeCell ref="H22:I22"/>
    <mergeCell ref="J22:K22"/>
    <mergeCell ref="L22:M22"/>
    <mergeCell ref="I23:J23"/>
    <mergeCell ref="K23:L23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/>
  <dimension ref="A1:P27"/>
  <sheetViews>
    <sheetView workbookViewId="0">
      <selection activeCell="P22" sqref="P22"/>
    </sheetView>
  </sheetViews>
  <sheetFormatPr defaultRowHeight="15" x14ac:dyDescent="0.25"/>
  <cols>
    <col min="3" max="3" width="22.140625" customWidth="1"/>
    <col min="6" max="6" width="12.42578125" customWidth="1"/>
    <col min="13" max="13" width="19.85546875" customWidth="1"/>
  </cols>
  <sheetData>
    <row r="1" spans="1:16" x14ac:dyDescent="0.25">
      <c r="A1" s="13" t="s">
        <v>0</v>
      </c>
      <c r="B1" s="1"/>
      <c r="C1" s="1" t="s">
        <v>136</v>
      </c>
      <c r="D1" s="1" t="s">
        <v>105</v>
      </c>
      <c r="E1" s="1" t="s">
        <v>106</v>
      </c>
      <c r="F1" s="1" t="s">
        <v>107</v>
      </c>
      <c r="G1" s="1"/>
      <c r="H1" s="1" t="s">
        <v>108</v>
      </c>
      <c r="I1" s="1" t="s">
        <v>109</v>
      </c>
      <c r="J1" s="1" t="s">
        <v>110</v>
      </c>
      <c r="K1" s="1" t="s">
        <v>111</v>
      </c>
      <c r="M1" s="13" t="s">
        <v>136</v>
      </c>
      <c r="N1" s="13" t="s">
        <v>105</v>
      </c>
      <c r="O1" s="13" t="s">
        <v>106</v>
      </c>
      <c r="P1" s="13" t="s">
        <v>107</v>
      </c>
    </row>
    <row r="2" spans="1:16" x14ac:dyDescent="0.25">
      <c r="A2" s="52" t="s">
        <v>11</v>
      </c>
      <c r="C2" s="3">
        <v>92</v>
      </c>
      <c r="D2" s="3">
        <v>1.3</v>
      </c>
      <c r="E2" s="3">
        <v>150.85</v>
      </c>
      <c r="F2" s="23">
        <f>(D2*160934)/(E2/2)</f>
        <v>2773.8044414981773</v>
      </c>
      <c r="H2" s="5"/>
      <c r="I2" s="5"/>
      <c r="J2" s="5"/>
      <c r="K2" s="5"/>
      <c r="M2" s="4">
        <v>92</v>
      </c>
      <c r="N2" s="4">
        <v>1.3</v>
      </c>
      <c r="O2" s="4">
        <v>150.85</v>
      </c>
      <c r="P2" s="91">
        <f>(N2*160934)/(O2/2)</f>
        <v>2773.8044414981773</v>
      </c>
    </row>
    <row r="3" spans="1:16" x14ac:dyDescent="0.25">
      <c r="A3" s="52" t="s">
        <v>10</v>
      </c>
      <c r="C3" s="23">
        <v>92</v>
      </c>
      <c r="D3" s="3">
        <v>1.74</v>
      </c>
      <c r="E3" s="3">
        <v>151.55000000000001</v>
      </c>
      <c r="F3" s="23">
        <f t="shared" ref="F3:F15" si="0">(D3*160934)/(E3/2)</f>
        <v>3695.4821511052451</v>
      </c>
      <c r="H3" s="5">
        <v>92</v>
      </c>
      <c r="I3" s="5">
        <v>1.76</v>
      </c>
      <c r="J3" s="5">
        <v>151.55000000000001</v>
      </c>
      <c r="K3" s="9">
        <f t="shared" ref="K3:K15" si="1">(I3*160934)/(J3/2)</f>
        <v>3737.9589574397887</v>
      </c>
      <c r="M3" s="91">
        <v>92</v>
      </c>
      <c r="N3" s="4">
        <v>1.74</v>
      </c>
      <c r="O3" s="4">
        <v>151.55000000000001</v>
      </c>
      <c r="P3" s="91">
        <f t="shared" ref="P3:P5" si="2">(N3*160934)/(O3/2)</f>
        <v>3695.4821511052451</v>
      </c>
    </row>
    <row r="4" spans="1:16" x14ac:dyDescent="0.25">
      <c r="A4" s="53" t="s">
        <v>12</v>
      </c>
      <c r="B4" s="5"/>
      <c r="C4" s="21">
        <v>91</v>
      </c>
      <c r="D4" s="21">
        <v>1.34</v>
      </c>
      <c r="E4" s="21">
        <v>126.56</v>
      </c>
      <c r="F4" s="23">
        <f t="shared" si="0"/>
        <v>3407.8944374209864</v>
      </c>
      <c r="G4" s="5"/>
      <c r="H4" s="5">
        <v>88</v>
      </c>
      <c r="I4" s="5">
        <v>1.25</v>
      </c>
      <c r="J4" s="5">
        <v>126.56</v>
      </c>
      <c r="K4" s="9">
        <f t="shared" si="1"/>
        <v>3179.00600505689</v>
      </c>
      <c r="M4" s="7">
        <v>91</v>
      </c>
      <c r="N4" s="7">
        <v>1.34</v>
      </c>
      <c r="O4" s="7">
        <v>126.56</v>
      </c>
      <c r="P4" s="91">
        <f t="shared" si="2"/>
        <v>3407.8944374209864</v>
      </c>
    </row>
    <row r="5" spans="1:16" x14ac:dyDescent="0.25">
      <c r="A5" s="53" t="s">
        <v>13</v>
      </c>
      <c r="B5" s="5"/>
      <c r="C5" s="5"/>
      <c r="D5" s="5"/>
      <c r="E5" s="5"/>
      <c r="F5" s="8"/>
      <c r="G5" s="21"/>
      <c r="H5" s="21">
        <v>90</v>
      </c>
      <c r="I5" s="21">
        <v>1.46</v>
      </c>
      <c r="J5" s="21">
        <v>139.38</v>
      </c>
      <c r="K5" s="25">
        <f t="shared" si="1"/>
        <v>3371.5545989381544</v>
      </c>
      <c r="M5" s="7">
        <v>90</v>
      </c>
      <c r="N5" s="7">
        <v>1.46</v>
      </c>
      <c r="O5" s="7">
        <v>139.38</v>
      </c>
      <c r="P5" s="92">
        <f t="shared" si="2"/>
        <v>3371.5545989381544</v>
      </c>
    </row>
    <row r="6" spans="1:16" x14ac:dyDescent="0.25">
      <c r="A6" s="53" t="s">
        <v>14</v>
      </c>
      <c r="B6" s="5"/>
      <c r="C6" s="21">
        <v>80</v>
      </c>
      <c r="D6" s="21">
        <v>1.49</v>
      </c>
      <c r="E6" s="21">
        <v>149.57</v>
      </c>
      <c r="F6" s="23">
        <f t="shared" si="0"/>
        <v>3206.413853045397</v>
      </c>
      <c r="G6" s="5"/>
      <c r="H6" s="5">
        <v>89</v>
      </c>
      <c r="I6" s="5">
        <v>1.25</v>
      </c>
      <c r="J6" s="5">
        <v>149.57</v>
      </c>
      <c r="K6" s="9">
        <f t="shared" si="1"/>
        <v>2689.94450758842</v>
      </c>
      <c r="M6" s="4">
        <v>80</v>
      </c>
      <c r="N6" s="4">
        <v>1.49</v>
      </c>
      <c r="O6" s="4">
        <v>149.57</v>
      </c>
      <c r="P6" s="91">
        <f t="shared" ref="P6:P15" si="3">(N6*160934)/(O6/2)</f>
        <v>3206.413853045397</v>
      </c>
    </row>
    <row r="7" spans="1:16" x14ac:dyDescent="0.25">
      <c r="A7" s="53" t="s">
        <v>15</v>
      </c>
      <c r="B7" s="5"/>
      <c r="C7" s="21">
        <v>81</v>
      </c>
      <c r="D7" s="21">
        <v>1.68</v>
      </c>
      <c r="E7" s="21">
        <v>133.01</v>
      </c>
      <c r="F7" s="23">
        <f t="shared" si="0"/>
        <v>4065.3953838057291</v>
      </c>
      <c r="G7" s="5"/>
      <c r="H7" s="5">
        <v>90</v>
      </c>
      <c r="I7" s="5">
        <v>1.27</v>
      </c>
      <c r="J7" s="5">
        <v>133.01</v>
      </c>
      <c r="K7" s="9">
        <f t="shared" si="1"/>
        <v>3073.2453199007596</v>
      </c>
      <c r="M7" s="7">
        <v>81</v>
      </c>
      <c r="N7" s="7">
        <v>1.68</v>
      </c>
      <c r="O7" s="7">
        <v>133.01</v>
      </c>
      <c r="P7" s="91">
        <f t="shared" si="3"/>
        <v>4065.3953838057291</v>
      </c>
    </row>
    <row r="8" spans="1:16" x14ac:dyDescent="0.25">
      <c r="A8" s="53" t="s">
        <v>16</v>
      </c>
      <c r="B8" s="5"/>
      <c r="C8" s="21">
        <v>80</v>
      </c>
      <c r="D8" s="21">
        <v>1.84</v>
      </c>
      <c r="E8" s="21">
        <v>156.85</v>
      </c>
      <c r="F8" s="23">
        <f t="shared" si="0"/>
        <v>3775.8184252470514</v>
      </c>
      <c r="G8" s="5"/>
      <c r="H8" s="5">
        <v>89</v>
      </c>
      <c r="I8" s="5">
        <v>1.48</v>
      </c>
      <c r="J8" s="5">
        <v>156.85</v>
      </c>
      <c r="K8" s="9">
        <f t="shared" si="1"/>
        <v>3037.0713420465413</v>
      </c>
      <c r="M8" s="7">
        <v>80</v>
      </c>
      <c r="N8" s="7">
        <v>1.84</v>
      </c>
      <c r="O8" s="7">
        <v>156.85</v>
      </c>
      <c r="P8" s="91">
        <f t="shared" si="3"/>
        <v>3775.8184252470514</v>
      </c>
    </row>
    <row r="9" spans="1:16" x14ac:dyDescent="0.25">
      <c r="A9" s="82" t="s">
        <v>112</v>
      </c>
      <c r="B9" s="5"/>
      <c r="C9" s="21">
        <v>99</v>
      </c>
      <c r="D9" s="21">
        <v>2.52</v>
      </c>
      <c r="E9" s="24">
        <v>133.15433333333334</v>
      </c>
      <c r="F9" s="23">
        <f t="shared" si="0"/>
        <v>6091.4830159489111</v>
      </c>
      <c r="G9" s="5"/>
      <c r="H9" s="7">
        <v>80</v>
      </c>
      <c r="I9" s="7">
        <v>1.46</v>
      </c>
      <c r="J9" s="12">
        <v>133.15433333333334</v>
      </c>
      <c r="K9" s="9">
        <f t="shared" si="1"/>
        <v>3529.1925409862738</v>
      </c>
      <c r="L9" s="5"/>
      <c r="M9" s="7">
        <v>99</v>
      </c>
      <c r="N9" s="7">
        <v>2.52</v>
      </c>
      <c r="O9" s="11">
        <v>133.15433333333334</v>
      </c>
      <c r="P9" s="92">
        <f t="shared" si="3"/>
        <v>6091.4830159489111</v>
      </c>
    </row>
    <row r="10" spans="1:16" x14ac:dyDescent="0.25">
      <c r="A10" s="82" t="s">
        <v>113</v>
      </c>
      <c r="B10" s="5"/>
      <c r="C10" s="21">
        <v>98</v>
      </c>
      <c r="D10" s="21">
        <v>1.58</v>
      </c>
      <c r="E10" s="24">
        <v>139.37100000000001</v>
      </c>
      <c r="F10" s="23">
        <f t="shared" si="0"/>
        <v>3648.9042914236102</v>
      </c>
      <c r="G10" s="5"/>
      <c r="H10" s="7">
        <v>80</v>
      </c>
      <c r="I10" s="7">
        <v>2.02</v>
      </c>
      <c r="J10" s="11">
        <v>139.37100000000001</v>
      </c>
      <c r="K10" s="9">
        <f t="shared" si="1"/>
        <v>4665.0548535922107</v>
      </c>
      <c r="L10" s="5"/>
      <c r="M10" s="7">
        <v>98</v>
      </c>
      <c r="N10" s="7">
        <v>1.58</v>
      </c>
      <c r="O10" s="11">
        <v>139.37100000000001</v>
      </c>
      <c r="P10" s="92">
        <f t="shared" si="3"/>
        <v>3648.9042914236102</v>
      </c>
    </row>
    <row r="11" spans="1:16" x14ac:dyDescent="0.25">
      <c r="A11" s="82" t="s">
        <v>114</v>
      </c>
      <c r="B11" s="5"/>
      <c r="C11" s="21">
        <v>99</v>
      </c>
      <c r="D11" s="21">
        <v>2.4900000000000002</v>
      </c>
      <c r="E11" s="24">
        <v>133.91999999999999</v>
      </c>
      <c r="F11" s="23">
        <f t="shared" si="0"/>
        <v>5984.5528673835133</v>
      </c>
      <c r="G11" s="5"/>
      <c r="H11" s="7">
        <v>80</v>
      </c>
      <c r="I11" s="7">
        <v>2.13</v>
      </c>
      <c r="J11" s="12">
        <v>133.91999999999999</v>
      </c>
      <c r="K11" s="9">
        <f t="shared" si="1"/>
        <v>5119.3163082437277</v>
      </c>
      <c r="L11" s="5"/>
      <c r="M11" s="7">
        <v>99</v>
      </c>
      <c r="N11" s="7">
        <v>2.4900000000000002</v>
      </c>
      <c r="O11" s="11">
        <v>133.91999999999999</v>
      </c>
      <c r="P11" s="92">
        <f t="shared" si="3"/>
        <v>5984.5528673835133</v>
      </c>
    </row>
    <row r="12" spans="1:16" x14ac:dyDescent="0.25">
      <c r="A12" s="82" t="s">
        <v>115</v>
      </c>
      <c r="B12" s="5"/>
      <c r="C12" s="21">
        <v>97</v>
      </c>
      <c r="D12" s="21">
        <v>1.77</v>
      </c>
      <c r="E12" s="93">
        <v>120.70866666666666</v>
      </c>
      <c r="F12" s="23">
        <f t="shared" si="0"/>
        <v>4719.6806636364145</v>
      </c>
      <c r="G12" s="5"/>
      <c r="H12" s="5">
        <v>79</v>
      </c>
      <c r="I12" s="5">
        <v>1.53</v>
      </c>
      <c r="J12" s="94">
        <v>120.70866666666666</v>
      </c>
      <c r="K12" s="9">
        <f t="shared" si="1"/>
        <v>4079.7239634823245</v>
      </c>
      <c r="L12" s="5"/>
      <c r="M12" s="7">
        <v>97</v>
      </c>
      <c r="N12" s="7">
        <v>1.77</v>
      </c>
      <c r="O12" s="94">
        <v>120.70866666666666</v>
      </c>
      <c r="P12" s="92">
        <f t="shared" si="3"/>
        <v>4719.6806636364145</v>
      </c>
    </row>
    <row r="13" spans="1:16" x14ac:dyDescent="0.25">
      <c r="A13" s="82" t="s">
        <v>117</v>
      </c>
      <c r="B13" s="5"/>
      <c r="C13" s="21">
        <v>76</v>
      </c>
      <c r="D13" s="21">
        <v>1.86</v>
      </c>
      <c r="E13" s="24">
        <v>147.29069999999999</v>
      </c>
      <c r="F13" s="23">
        <f t="shared" si="0"/>
        <v>4064.5776006224428</v>
      </c>
      <c r="G13" s="5"/>
      <c r="H13" s="7">
        <v>72</v>
      </c>
      <c r="I13" s="7">
        <v>1.6</v>
      </c>
      <c r="J13" s="11">
        <v>147.29069999999999</v>
      </c>
      <c r="K13" s="9">
        <f t="shared" si="1"/>
        <v>3496.4108392451126</v>
      </c>
      <c r="L13" s="5"/>
      <c r="M13" s="7">
        <v>76</v>
      </c>
      <c r="N13" s="7">
        <v>1.86</v>
      </c>
      <c r="O13" s="11">
        <v>147.29069999999999</v>
      </c>
      <c r="P13" s="92">
        <f t="shared" si="3"/>
        <v>4064.5776006224428</v>
      </c>
    </row>
    <row r="14" spans="1:16" x14ac:dyDescent="0.25">
      <c r="A14" s="82" t="s">
        <v>121</v>
      </c>
      <c r="B14" s="5"/>
      <c r="C14" s="21">
        <v>76</v>
      </c>
      <c r="D14" s="21">
        <v>1.96</v>
      </c>
      <c r="E14" s="24">
        <v>157.05269999999999</v>
      </c>
      <c r="F14" s="23">
        <f t="shared" si="0"/>
        <v>4016.876373344744</v>
      </c>
      <c r="G14" s="5"/>
      <c r="H14" s="7">
        <v>68</v>
      </c>
      <c r="I14" s="7">
        <v>1.79</v>
      </c>
      <c r="J14" s="11">
        <v>157.05269999999999</v>
      </c>
      <c r="K14" s="9">
        <f t="shared" si="1"/>
        <v>3668.4738307587199</v>
      </c>
      <c r="M14" s="7">
        <v>76</v>
      </c>
      <c r="N14" s="7">
        <v>1.96</v>
      </c>
      <c r="O14" s="11">
        <v>157.05269999999999</v>
      </c>
      <c r="P14" s="91">
        <f t="shared" si="3"/>
        <v>4016.876373344744</v>
      </c>
    </row>
    <row r="15" spans="1:16" x14ac:dyDescent="0.25">
      <c r="A15" s="66" t="s">
        <v>122</v>
      </c>
      <c r="C15" s="21">
        <v>76</v>
      </c>
      <c r="D15" s="21">
        <v>1.96</v>
      </c>
      <c r="E15" s="24">
        <v>137.64599999999999</v>
      </c>
      <c r="F15" s="23">
        <f t="shared" si="0"/>
        <v>4583.2154948200459</v>
      </c>
      <c r="H15" s="7">
        <v>72</v>
      </c>
      <c r="I15" s="7">
        <v>1.83</v>
      </c>
      <c r="J15" s="11">
        <v>137.64599999999999</v>
      </c>
      <c r="K15" s="9">
        <f t="shared" si="1"/>
        <v>4279.2267120003498</v>
      </c>
      <c r="M15" s="7">
        <v>76</v>
      </c>
      <c r="N15" s="7">
        <v>1.96</v>
      </c>
      <c r="O15" s="11">
        <v>137.64599999999999</v>
      </c>
      <c r="P15" s="91">
        <f t="shared" si="3"/>
        <v>4583.2154948200459</v>
      </c>
    </row>
    <row r="16" spans="1:16" s="2" customFormat="1" x14ac:dyDescent="0.25">
      <c r="A16" s="90" t="s">
        <v>123</v>
      </c>
      <c r="C16" s="58" t="s">
        <v>148</v>
      </c>
      <c r="D16" s="69" t="s">
        <v>151</v>
      </c>
      <c r="G16" s="58"/>
      <c r="H16" s="69"/>
      <c r="I16" s="58" t="s">
        <v>148</v>
      </c>
      <c r="J16" s="69" t="s">
        <v>151</v>
      </c>
      <c r="L16" s="69"/>
      <c r="M16" s="58" t="s">
        <v>148</v>
      </c>
      <c r="N16" s="69" t="s">
        <v>151</v>
      </c>
      <c r="P16" s="91"/>
    </row>
    <row r="17" spans="1:16" x14ac:dyDescent="0.25">
      <c r="A17" s="66" t="s">
        <v>182</v>
      </c>
      <c r="I17" s="2"/>
      <c r="J17" s="2"/>
      <c r="K17" s="2"/>
      <c r="M17" s="2">
        <f>AVERAGE(M2:M16)</f>
        <v>87.642857142857139</v>
      </c>
      <c r="N17" s="2">
        <f t="shared" ref="N17:P17" si="4">AVERAGE(N2:N16)</f>
        <v>1.7849999999999999</v>
      </c>
      <c r="O17" s="2">
        <f t="shared" si="4"/>
        <v>141.2081</v>
      </c>
      <c r="P17" s="2">
        <f t="shared" si="4"/>
        <v>4100.4038284457438</v>
      </c>
    </row>
    <row r="18" spans="1:16" x14ac:dyDescent="0.25">
      <c r="A18" s="66" t="s">
        <v>153</v>
      </c>
      <c r="C18" s="8"/>
      <c r="D18" s="10"/>
      <c r="E18" s="10"/>
      <c r="F18" s="8"/>
      <c r="M18">
        <f>STDEV(M2:M16)</f>
        <v>9.0944373772538114</v>
      </c>
      <c r="N18" s="2">
        <f t="shared" ref="N18:O18" si="5">STDEV(N2:N16)</f>
        <v>0.37089807847356832</v>
      </c>
      <c r="O18" s="2">
        <f t="shared" si="5"/>
        <v>11.238492768259551</v>
      </c>
      <c r="P18" s="2">
        <f>STDEV(P2:P16)</f>
        <v>968.08909028359403</v>
      </c>
    </row>
    <row r="19" spans="1:16" x14ac:dyDescent="0.25">
      <c r="A19" s="66"/>
    </row>
    <row r="21" spans="1:16" x14ac:dyDescent="0.25">
      <c r="A21" s="1" t="s">
        <v>169</v>
      </c>
      <c r="B21" s="2"/>
      <c r="C21" s="2"/>
      <c r="D21" s="2"/>
      <c r="E21" s="2"/>
      <c r="F21" s="2"/>
      <c r="G21" s="2"/>
      <c r="H21" s="2"/>
      <c r="I21" s="2"/>
    </row>
    <row r="22" spans="1:16" x14ac:dyDescent="0.25">
      <c r="A22" s="2" t="s">
        <v>170</v>
      </c>
      <c r="B22" s="2"/>
      <c r="C22" s="2"/>
      <c r="D22" s="2"/>
      <c r="E22" s="2"/>
      <c r="F22" s="2"/>
      <c r="G22" s="2"/>
      <c r="H22" s="2"/>
      <c r="I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6" x14ac:dyDescent="0.25">
      <c r="A24" s="2" t="s">
        <v>177</v>
      </c>
      <c r="B24" s="2"/>
      <c r="C24" s="2"/>
      <c r="D24" s="2"/>
      <c r="E24" s="2"/>
      <c r="F24" s="2"/>
      <c r="G24" s="2"/>
      <c r="H24" s="2"/>
      <c r="I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6" x14ac:dyDescent="0.25">
      <c r="A26" s="3" t="s">
        <v>181</v>
      </c>
      <c r="B26" s="2"/>
      <c r="C26" s="2"/>
      <c r="D26" s="2"/>
      <c r="E26" s="2"/>
      <c r="F26" s="2"/>
      <c r="G26" s="2"/>
      <c r="H26" s="2"/>
      <c r="I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35"/>
  <sheetViews>
    <sheetView topLeftCell="D1" workbookViewId="0">
      <selection activeCell="K14" sqref="K14"/>
    </sheetView>
  </sheetViews>
  <sheetFormatPr defaultColWidth="9.140625" defaultRowHeight="15" x14ac:dyDescent="0.25"/>
  <cols>
    <col min="1" max="1" width="16" style="20" customWidth="1"/>
    <col min="2" max="2" width="19.85546875" style="248" customWidth="1"/>
    <col min="3" max="3" width="14.7109375" style="15" customWidth="1"/>
    <col min="4" max="4" width="18.28515625" style="15" bestFit="1" customWidth="1"/>
    <col min="5" max="5" width="15.5703125" style="15" customWidth="1"/>
    <col min="6" max="6" width="22.5703125" style="15" bestFit="1" customWidth="1"/>
    <col min="7" max="7" width="16.140625" style="15" bestFit="1" customWidth="1"/>
    <col min="8" max="8" width="17" style="15" bestFit="1" customWidth="1"/>
    <col min="9" max="9" width="17" style="15" customWidth="1"/>
    <col min="10" max="10" width="32.85546875" style="15" customWidth="1"/>
    <col min="11" max="11" width="9.140625" style="2"/>
    <col min="12" max="12" width="14.7109375" style="2" bestFit="1" customWidth="1"/>
    <col min="13" max="13" width="15.5703125" style="2" bestFit="1" customWidth="1"/>
    <col min="14" max="14" width="14.7109375" style="2" bestFit="1" customWidth="1"/>
    <col min="15" max="15" width="15.5703125" style="2" bestFit="1" customWidth="1"/>
    <col min="16" max="16384" width="9.140625" style="2"/>
  </cols>
  <sheetData>
    <row r="1" spans="1:15" x14ac:dyDescent="0.25">
      <c r="B1" s="248" t="s">
        <v>2</v>
      </c>
      <c r="C1" s="17" t="s">
        <v>6</v>
      </c>
      <c r="D1" s="17" t="s">
        <v>7</v>
      </c>
      <c r="E1" s="17" t="s">
        <v>23</v>
      </c>
      <c r="G1" s="15" t="s">
        <v>8</v>
      </c>
      <c r="H1" s="15" t="s">
        <v>9</v>
      </c>
      <c r="I1" s="15" t="s">
        <v>23</v>
      </c>
      <c r="K1" s="217"/>
      <c r="L1" s="284" t="s">
        <v>495</v>
      </c>
      <c r="M1" s="284"/>
      <c r="N1" s="284" t="s">
        <v>496</v>
      </c>
      <c r="O1" s="285"/>
    </row>
    <row r="2" spans="1:15" x14ac:dyDescent="0.25">
      <c r="A2" s="64" t="s">
        <v>11</v>
      </c>
      <c r="B2" s="248">
        <v>1</v>
      </c>
      <c r="C2" s="43">
        <v>24.6</v>
      </c>
      <c r="D2" s="43">
        <v>28</v>
      </c>
      <c r="E2" s="44">
        <f>(D2-C2)/C2*100</f>
        <v>13.821138211382108</v>
      </c>
      <c r="F2" s="16"/>
      <c r="G2" s="16">
        <v>26</v>
      </c>
      <c r="H2" s="16">
        <v>29</v>
      </c>
      <c r="I2" s="16">
        <f>(H2-G2)/G2*100</f>
        <v>11.538461538461538</v>
      </c>
      <c r="J2" s="16"/>
      <c r="K2" s="266"/>
      <c r="L2" s="6" t="s">
        <v>6</v>
      </c>
      <c r="M2" s="6" t="s">
        <v>7</v>
      </c>
      <c r="N2" s="6" t="s">
        <v>6</v>
      </c>
      <c r="O2" s="254" t="s">
        <v>7</v>
      </c>
    </row>
    <row r="3" spans="1:15" x14ac:dyDescent="0.25">
      <c r="A3" s="64" t="s">
        <v>10</v>
      </c>
      <c r="B3" s="248">
        <v>2</v>
      </c>
      <c r="C3" s="43">
        <v>45.766666666666673</v>
      </c>
      <c r="D3" s="43">
        <v>51.666666666666664</v>
      </c>
      <c r="E3" s="44">
        <f t="shared" ref="E3:E15" si="0">(D3-C3)/C3*100</f>
        <v>12.891478514202456</v>
      </c>
      <c r="F3" s="16"/>
      <c r="G3" s="16">
        <v>45.9</v>
      </c>
      <c r="H3" s="16">
        <v>51.9</v>
      </c>
      <c r="I3" s="16">
        <f t="shared" ref="I3:I15" si="1">(H3-G3)/G3*100</f>
        <v>13.071895424836603</v>
      </c>
      <c r="J3" s="16"/>
      <c r="K3" s="266"/>
      <c r="L3" s="278">
        <v>24.6</v>
      </c>
      <c r="M3" s="278">
        <v>28</v>
      </c>
      <c r="N3" s="278">
        <v>45.766666666666673</v>
      </c>
      <c r="O3" s="279">
        <v>51.666666666666664</v>
      </c>
    </row>
    <row r="4" spans="1:15" x14ac:dyDescent="0.25">
      <c r="A4" s="64" t="s">
        <v>12</v>
      </c>
      <c r="B4" s="248">
        <v>1</v>
      </c>
      <c r="C4" s="43">
        <v>17.333333333333332</v>
      </c>
      <c r="D4" s="43">
        <v>23.333333333333332</v>
      </c>
      <c r="E4" s="44">
        <f t="shared" si="0"/>
        <v>34.61538461538462</v>
      </c>
      <c r="F4" s="16"/>
      <c r="G4" s="16">
        <v>20.100000000000001</v>
      </c>
      <c r="H4" s="16">
        <v>24</v>
      </c>
      <c r="I4" s="16">
        <f t="shared" si="1"/>
        <v>19.402985074626859</v>
      </c>
      <c r="J4" s="16"/>
      <c r="K4" s="266"/>
      <c r="L4" s="278">
        <v>17.333333333333332</v>
      </c>
      <c r="M4" s="278">
        <v>23.333333333333332</v>
      </c>
      <c r="N4" s="45">
        <v>45.5</v>
      </c>
      <c r="O4" s="267">
        <v>48</v>
      </c>
    </row>
    <row r="5" spans="1:15" s="27" customFormat="1" x14ac:dyDescent="0.25">
      <c r="A5" s="26" t="s">
        <v>13</v>
      </c>
      <c r="B5" s="26">
        <v>1</v>
      </c>
      <c r="C5" s="45">
        <v>19.3</v>
      </c>
      <c r="D5" s="45">
        <v>22.666666666666668</v>
      </c>
      <c r="E5" s="45">
        <f t="shared" si="0"/>
        <v>17.443868739205527</v>
      </c>
      <c r="F5" s="28"/>
      <c r="G5" s="28">
        <v>19.899999999999999</v>
      </c>
      <c r="H5" s="167">
        <v>22</v>
      </c>
      <c r="I5" s="28">
        <f t="shared" si="1"/>
        <v>10.552763819095485</v>
      </c>
      <c r="J5" s="28" t="s">
        <v>402</v>
      </c>
      <c r="K5" s="268"/>
      <c r="L5" s="280">
        <v>19.3</v>
      </c>
      <c r="M5" s="280">
        <v>22.666666666666668</v>
      </c>
      <c r="N5" s="280">
        <v>38.666666666666664</v>
      </c>
      <c r="O5" s="281">
        <v>39</v>
      </c>
    </row>
    <row r="6" spans="1:15" s="27" customFormat="1" x14ac:dyDescent="0.25">
      <c r="A6" s="26" t="s">
        <v>14</v>
      </c>
      <c r="B6" s="26">
        <v>2</v>
      </c>
      <c r="C6" s="45">
        <v>45.5</v>
      </c>
      <c r="D6" s="45">
        <v>48</v>
      </c>
      <c r="E6" s="45">
        <f t="shared" si="0"/>
        <v>5.4945054945054945</v>
      </c>
      <c r="F6" s="28"/>
      <c r="G6" s="28">
        <v>46.2</v>
      </c>
      <c r="H6" s="28">
        <v>50</v>
      </c>
      <c r="I6" s="28">
        <f t="shared" si="1"/>
        <v>8.2251082251082188</v>
      </c>
      <c r="J6" s="28"/>
      <c r="K6" s="268"/>
      <c r="L6" s="280">
        <v>31.333333333333332</v>
      </c>
      <c r="M6" s="280">
        <v>27.333333333333332</v>
      </c>
      <c r="N6" s="45">
        <f>AVERAGE(42, 38, 32)</f>
        <v>37.333333333333336</v>
      </c>
      <c r="O6" s="267">
        <f>AVERAGE(34,34,37)</f>
        <v>35</v>
      </c>
    </row>
    <row r="7" spans="1:15" s="27" customFormat="1" x14ac:dyDescent="0.25">
      <c r="A7" s="26" t="s">
        <v>15</v>
      </c>
      <c r="B7" s="26">
        <v>1</v>
      </c>
      <c r="C7" s="45">
        <v>31.333333333333332</v>
      </c>
      <c r="D7" s="45">
        <v>27.333333333333332</v>
      </c>
      <c r="E7" s="45">
        <f t="shared" si="0"/>
        <v>-12.765957446808512</v>
      </c>
      <c r="F7" s="28"/>
      <c r="G7" s="28">
        <v>32</v>
      </c>
      <c r="H7" s="28">
        <v>30</v>
      </c>
      <c r="I7" s="28">
        <f t="shared" si="1"/>
        <v>-6.25</v>
      </c>
      <c r="J7" s="28"/>
      <c r="K7" s="268"/>
      <c r="L7" s="45">
        <f>AVERAGE(26, 26, 27)</f>
        <v>26.333333333333332</v>
      </c>
      <c r="M7" s="45">
        <f>AVERAGE(26,26,28)</f>
        <v>26.666666666666668</v>
      </c>
      <c r="N7" s="45">
        <f>AVERAGE(42, 38, 32)</f>
        <v>37.333333333333336</v>
      </c>
      <c r="O7" s="267">
        <f>AVERAGE(42,48,42)</f>
        <v>44</v>
      </c>
    </row>
    <row r="8" spans="1:15" s="27" customFormat="1" x14ac:dyDescent="0.25">
      <c r="A8" s="26" t="s">
        <v>16</v>
      </c>
      <c r="B8" s="26">
        <v>2</v>
      </c>
      <c r="C8" s="45">
        <v>38.666666666666664</v>
      </c>
      <c r="D8" s="45">
        <v>39</v>
      </c>
      <c r="E8" s="45">
        <f t="shared" si="0"/>
        <v>0.86206896551724765</v>
      </c>
      <c r="F8" s="28"/>
      <c r="G8" s="28">
        <v>40</v>
      </c>
      <c r="H8" s="28">
        <v>40</v>
      </c>
      <c r="I8" s="28">
        <f t="shared" si="1"/>
        <v>0</v>
      </c>
      <c r="J8" s="28"/>
      <c r="K8" s="268"/>
      <c r="L8" s="270">
        <f>AVERAGE(22, 28, 32)</f>
        <v>27.333333333333332</v>
      </c>
      <c r="M8" s="270">
        <f>AVERAGE(22,22,24)</f>
        <v>22.666666666666668</v>
      </c>
      <c r="N8" s="45">
        <f>AVERAGE(51, 50, 54)</f>
        <v>51.666666666666664</v>
      </c>
      <c r="O8" s="267">
        <v>54.33</v>
      </c>
    </row>
    <row r="9" spans="1:15" s="27" customFormat="1" x14ac:dyDescent="0.25">
      <c r="A9" s="26" t="s">
        <v>112</v>
      </c>
      <c r="B9" s="26">
        <v>1</v>
      </c>
      <c r="C9" s="46">
        <f>AVERAGE(26, 26, 27)</f>
        <v>26.333333333333332</v>
      </c>
      <c r="D9" s="46">
        <f>AVERAGE(26,26,28)</f>
        <v>26.666666666666668</v>
      </c>
      <c r="E9" s="45">
        <f t="shared" si="0"/>
        <v>1.2658227848101355</v>
      </c>
      <c r="F9" s="28"/>
      <c r="G9" s="28">
        <v>27</v>
      </c>
      <c r="H9" s="28">
        <v>28</v>
      </c>
      <c r="I9" s="28">
        <f t="shared" si="1"/>
        <v>3.7037037037037033</v>
      </c>
      <c r="J9" s="28"/>
      <c r="K9" s="268"/>
      <c r="L9" s="45">
        <f>AVERAGE(28, 26, 26)</f>
        <v>26.666666666666668</v>
      </c>
      <c r="M9" s="45">
        <v>29</v>
      </c>
      <c r="N9" s="45">
        <v>36</v>
      </c>
      <c r="O9" s="267">
        <v>44.33</v>
      </c>
    </row>
    <row r="10" spans="1:15" s="27" customFormat="1" x14ac:dyDescent="0.25">
      <c r="A10" s="26" t="s">
        <v>113</v>
      </c>
      <c r="B10" s="26">
        <v>1</v>
      </c>
      <c r="C10" s="72">
        <f>AVERAGE(22, 28, 32)</f>
        <v>27.333333333333332</v>
      </c>
      <c r="D10" s="72">
        <f>AVERAGE(22,22,24)</f>
        <v>22.666666666666668</v>
      </c>
      <c r="E10" s="45">
        <f t="shared" si="0"/>
        <v>-17.073170731707311</v>
      </c>
      <c r="F10" s="28"/>
      <c r="G10" s="28">
        <v>32</v>
      </c>
      <c r="H10" s="73">
        <v>24</v>
      </c>
      <c r="I10" s="28">
        <f t="shared" si="1"/>
        <v>-25</v>
      </c>
      <c r="J10" s="28"/>
      <c r="K10" s="271"/>
      <c r="L10" s="272"/>
      <c r="M10" s="30"/>
      <c r="N10" s="30"/>
      <c r="O10" s="269"/>
    </row>
    <row r="11" spans="1:15" s="27" customFormat="1" x14ac:dyDescent="0.25">
      <c r="A11" s="26" t="s">
        <v>114</v>
      </c>
      <c r="B11" s="26">
        <v>2</v>
      </c>
      <c r="C11" s="46">
        <f>AVERAGE(42, 38, 32)</f>
        <v>37.333333333333336</v>
      </c>
      <c r="D11" s="46">
        <f>AVERAGE(34,34,37)</f>
        <v>35</v>
      </c>
      <c r="E11" s="45">
        <f t="shared" si="0"/>
        <v>-6.2500000000000053</v>
      </c>
      <c r="F11" s="28"/>
      <c r="G11" s="167">
        <v>38</v>
      </c>
      <c r="H11" s="167">
        <v>37</v>
      </c>
      <c r="I11" s="28">
        <f t="shared" si="1"/>
        <v>-2.6315789473684208</v>
      </c>
      <c r="J11" s="28" t="s">
        <v>401</v>
      </c>
      <c r="K11" s="273" t="s">
        <v>497</v>
      </c>
      <c r="L11" s="274">
        <f>AVERAGE(L3:L7,L9)</f>
        <v>24.261111111111109</v>
      </c>
      <c r="M11" s="274">
        <f>AVERAGE(M3:M7,M9)</f>
        <v>26.166666666666668</v>
      </c>
      <c r="N11" s="30">
        <f>AVERAGE(N3:N9)</f>
        <v>41.75238095238096</v>
      </c>
      <c r="O11" s="269">
        <f>AVERAGE(O3:O9)</f>
        <v>45.189523809523806</v>
      </c>
    </row>
    <row r="12" spans="1:15" s="27" customFormat="1" x14ac:dyDescent="0.25">
      <c r="A12" s="26" t="s">
        <v>115</v>
      </c>
      <c r="B12" s="26">
        <v>2</v>
      </c>
      <c r="C12" s="46">
        <f>AVERAGE(42, 38, 32)</f>
        <v>37.333333333333336</v>
      </c>
      <c r="D12" s="46">
        <f>AVERAGE(42,48,42)</f>
        <v>44</v>
      </c>
      <c r="E12" s="45">
        <f t="shared" si="0"/>
        <v>17.857142857142851</v>
      </c>
      <c r="F12" s="28"/>
      <c r="G12" s="28">
        <v>42</v>
      </c>
      <c r="H12" s="28">
        <v>48</v>
      </c>
      <c r="I12" s="28">
        <f t="shared" si="1"/>
        <v>14.285714285714285</v>
      </c>
      <c r="J12" s="28"/>
      <c r="K12" s="275" t="s">
        <v>460</v>
      </c>
      <c r="L12" s="276">
        <f>STDEV(L3:L7,L9)</f>
        <v>5.1540024001489115</v>
      </c>
      <c r="M12" s="276">
        <f>STDEV(M3:M7,M9)</f>
        <v>2.5798363427852467</v>
      </c>
      <c r="N12" s="276">
        <f>STDEV(N3:N9)</f>
        <v>5.917765379765151</v>
      </c>
      <c r="O12" s="277">
        <f>STDEV(O3:O9)</f>
        <v>6.8030729517844684</v>
      </c>
    </row>
    <row r="13" spans="1:15" s="27" customFormat="1" x14ac:dyDescent="0.25">
      <c r="A13" s="26" t="s">
        <v>117</v>
      </c>
      <c r="B13" s="26">
        <v>2</v>
      </c>
      <c r="C13" s="46">
        <f>AVERAGE(51, 50, 54)</f>
        <v>51.666666666666664</v>
      </c>
      <c r="D13" s="46">
        <v>54.33</v>
      </c>
      <c r="E13" s="45">
        <f t="shared" si="0"/>
        <v>5.1548387096774206</v>
      </c>
      <c r="F13" s="28"/>
      <c r="G13" s="28">
        <v>54</v>
      </c>
      <c r="H13" s="28">
        <v>56</v>
      </c>
      <c r="I13" s="28">
        <f t="shared" si="1"/>
        <v>3.7037037037037033</v>
      </c>
      <c r="J13" s="28"/>
    </row>
    <row r="14" spans="1:15" s="27" customFormat="1" x14ac:dyDescent="0.25">
      <c r="A14" s="26" t="s">
        <v>121</v>
      </c>
      <c r="B14" s="26">
        <v>1</v>
      </c>
      <c r="C14" s="46">
        <f>AVERAGE(28, 26, 26)</f>
        <v>26.666666666666668</v>
      </c>
      <c r="D14" s="46">
        <v>29</v>
      </c>
      <c r="E14" s="45">
        <f t="shared" si="0"/>
        <v>8.7499999999999947</v>
      </c>
      <c r="F14" s="28"/>
      <c r="G14" s="28">
        <v>28</v>
      </c>
      <c r="H14" s="28">
        <v>31</v>
      </c>
      <c r="I14" s="28">
        <f t="shared" si="1"/>
        <v>10.714285714285714</v>
      </c>
      <c r="J14" s="28"/>
    </row>
    <row r="15" spans="1:15" s="37" customFormat="1" x14ac:dyDescent="0.25">
      <c r="A15" s="26" t="s">
        <v>122</v>
      </c>
      <c r="B15" s="26">
        <v>2</v>
      </c>
      <c r="C15" s="32">
        <v>36</v>
      </c>
      <c r="D15" s="32">
        <v>44.33</v>
      </c>
      <c r="E15" s="45">
        <f t="shared" si="0"/>
        <v>23.138888888888882</v>
      </c>
      <c r="F15" s="26"/>
      <c r="G15" s="26">
        <v>37</v>
      </c>
      <c r="H15" s="26">
        <v>50</v>
      </c>
      <c r="I15" s="26">
        <f t="shared" si="1"/>
        <v>35.135135135135137</v>
      </c>
      <c r="J15" s="36"/>
    </row>
    <row r="16" spans="1:15" s="61" customFormat="1" x14ac:dyDescent="0.25">
      <c r="A16" s="57" t="s">
        <v>123</v>
      </c>
      <c r="B16" s="67">
        <v>2</v>
      </c>
      <c r="C16" s="58" t="s">
        <v>148</v>
      </c>
      <c r="D16" s="69" t="s">
        <v>151</v>
      </c>
      <c r="E16" s="59"/>
      <c r="F16" s="244" t="s">
        <v>477</v>
      </c>
      <c r="G16" s="58" t="s">
        <v>148</v>
      </c>
      <c r="H16" s="69" t="s">
        <v>151</v>
      </c>
      <c r="I16" s="60"/>
      <c r="J16" s="60"/>
    </row>
    <row r="17" spans="1:10" x14ac:dyDescent="0.25">
      <c r="A17" s="20" t="s">
        <v>17</v>
      </c>
      <c r="B17" s="32"/>
      <c r="C17" s="46">
        <f>AVERAGE(C2:C16)</f>
        <v>33.226190476190474</v>
      </c>
      <c r="D17" s="46">
        <f>AVERAGE(D2:D16)</f>
        <v>35.428095238095239</v>
      </c>
      <c r="E17" s="48">
        <f>AVERAGE(E2:E16)</f>
        <v>7.5147149715857804</v>
      </c>
      <c r="F17" s="245" t="s">
        <v>479</v>
      </c>
      <c r="G17" s="28">
        <f>AVERAGE(G2:G16)</f>
        <v>34.864285714285714</v>
      </c>
      <c r="H17" s="28">
        <f>AVERAGE(H2:H16)</f>
        <v>37.207142857142856</v>
      </c>
      <c r="I17" s="49">
        <f>AVERAGE(I2:I16)</f>
        <v>6.8894412626644881</v>
      </c>
      <c r="J17" s="20"/>
    </row>
    <row r="18" spans="1:10" x14ac:dyDescent="0.25">
      <c r="A18" s="38" t="s">
        <v>153</v>
      </c>
      <c r="B18" s="32"/>
      <c r="C18" s="46">
        <f>STDEV(C2:C16)</f>
        <v>10.261097212048796</v>
      </c>
      <c r="D18" s="46">
        <f>STDEV(D2:D16)</f>
        <v>11.284657439581119</v>
      </c>
      <c r="E18" s="46">
        <f>STDEV(E2:E16)</f>
        <v>14.012673643526449</v>
      </c>
      <c r="F18" s="246" t="s">
        <v>478</v>
      </c>
      <c r="G18" s="46">
        <f>STDEV(G2:G16)</f>
        <v>10.205624930389138</v>
      </c>
      <c r="H18" s="46">
        <f>STDEV(H2:H16)</f>
        <v>11.908010509136876</v>
      </c>
      <c r="I18" s="46">
        <f>STDEV(I2:I16)</f>
        <v>13.719093413761307</v>
      </c>
      <c r="J18" s="20"/>
    </row>
    <row r="19" spans="1:10" x14ac:dyDescent="0.25">
      <c r="B19" s="26"/>
      <c r="C19" s="48"/>
      <c r="D19" s="48"/>
      <c r="E19" s="48"/>
      <c r="F19" s="247" t="s">
        <v>480</v>
      </c>
      <c r="G19" s="49"/>
      <c r="H19" s="49"/>
      <c r="I19" s="49"/>
      <c r="J19" s="20"/>
    </row>
    <row r="20" spans="1:10" x14ac:dyDescent="0.25">
      <c r="B20" s="26"/>
      <c r="C20" s="162"/>
      <c r="D20" s="72" t="s">
        <v>185</v>
      </c>
      <c r="E20" s="160" t="s">
        <v>398</v>
      </c>
      <c r="F20" s="16"/>
      <c r="G20" s="164"/>
      <c r="H20" s="73" t="s">
        <v>185</v>
      </c>
      <c r="I20" s="160" t="s">
        <v>398</v>
      </c>
      <c r="J20" s="20"/>
    </row>
    <row r="21" spans="1:10" x14ac:dyDescent="0.25">
      <c r="C21" s="72"/>
      <c r="D21" s="72" t="s">
        <v>187</v>
      </c>
      <c r="E21" s="160" t="s">
        <v>396</v>
      </c>
      <c r="F21" s="16"/>
      <c r="G21" s="73"/>
      <c r="H21" s="73" t="s">
        <v>186</v>
      </c>
      <c r="I21" s="160" t="s">
        <v>397</v>
      </c>
      <c r="J21" s="20"/>
    </row>
    <row r="22" spans="1:10" x14ac:dyDescent="0.25">
      <c r="A22" s="20" t="s">
        <v>281</v>
      </c>
      <c r="C22" s="163">
        <v>-2.2028569999999998</v>
      </c>
      <c r="D22" s="163">
        <v>3.9398559999999998</v>
      </c>
      <c r="E22" s="161"/>
      <c r="F22" s="169">
        <v>-2.730769</v>
      </c>
      <c r="G22" s="165">
        <v>-2.0571429999999999</v>
      </c>
      <c r="H22" s="165">
        <v>5.0521459999999996</v>
      </c>
      <c r="I22" s="161"/>
      <c r="J22" s="171">
        <v>-2.8307690000000001</v>
      </c>
    </row>
    <row r="23" spans="1:10" x14ac:dyDescent="0.25">
      <c r="C23" s="72" t="s">
        <v>282</v>
      </c>
      <c r="D23" s="72">
        <f>C22/D22</f>
        <v>-0.55912119630768231</v>
      </c>
      <c r="E23" s="160">
        <f>F22/F23</f>
        <v>-0.76963720274793024</v>
      </c>
      <c r="F23" s="170">
        <v>3.5481250000000002</v>
      </c>
      <c r="G23" s="72" t="s">
        <v>282</v>
      </c>
      <c r="H23" s="73">
        <f>G22/H22</f>
        <v>-0.40718201730512144</v>
      </c>
      <c r="I23" s="160">
        <f>J22/J23</f>
        <v>-0.65682859319315989</v>
      </c>
      <c r="J23" s="171">
        <v>4.3097529999999997</v>
      </c>
    </row>
    <row r="24" spans="1:10" x14ac:dyDescent="0.25">
      <c r="C24" s="72"/>
      <c r="D24" s="48"/>
      <c r="E24" s="48"/>
      <c r="F24" s="16"/>
      <c r="G24" s="49"/>
      <c r="H24" s="49"/>
      <c r="I24" s="49"/>
      <c r="J24" s="20"/>
    </row>
    <row r="25" spans="1:10" x14ac:dyDescent="0.25">
      <c r="C25" s="72" t="s">
        <v>155</v>
      </c>
      <c r="D25" s="48"/>
      <c r="E25" s="48"/>
      <c r="F25" s="28"/>
      <c r="G25" s="49"/>
      <c r="H25" s="49"/>
      <c r="I25" s="49"/>
      <c r="J25" s="20"/>
    </row>
    <row r="26" spans="1:10" ht="105" customHeight="1" x14ac:dyDescent="0.25">
      <c r="A26" s="71"/>
      <c r="C26" s="283" t="s">
        <v>156</v>
      </c>
      <c r="D26" s="283"/>
      <c r="E26" s="172">
        <f>AVERAGE(C2:C9,C11:C16)</f>
        <v>33.679487179487182</v>
      </c>
      <c r="F26" s="160">
        <f>AVERAGE(D2:D9,D11:D16)</f>
        <v>36.409743589743591</v>
      </c>
      <c r="G26" s="28" t="s">
        <v>399</v>
      </c>
      <c r="H26" s="49"/>
      <c r="I26" s="49">
        <f>AVERAGE(G2:G9,G11:G15)</f>
        <v>35.08461538461539</v>
      </c>
      <c r="J26" s="166">
        <f>AVERAGE(H2:H9,H11:H15)</f>
        <v>38.223076923076924</v>
      </c>
    </row>
    <row r="27" spans="1:10" x14ac:dyDescent="0.25">
      <c r="C27" s="17"/>
      <c r="D27" s="17"/>
      <c r="E27" s="173"/>
      <c r="F27" s="160">
        <f>AVERAGE(E2:E9,E11:E16)</f>
        <v>9.4060907949160182</v>
      </c>
      <c r="G27" s="15" t="s">
        <v>400</v>
      </c>
      <c r="J27" s="16">
        <f>AVERAGE(I2:I9,I11:I15)</f>
        <v>9.3424752059463696</v>
      </c>
    </row>
    <row r="28" spans="1:10" x14ac:dyDescent="0.25">
      <c r="C28" s="17"/>
      <c r="D28" s="174" t="s">
        <v>438</v>
      </c>
      <c r="E28" s="33">
        <f>STDEV(C2:C9,C11:C16)</f>
        <v>10.533179837678517</v>
      </c>
      <c r="F28" s="33">
        <f>STDEV(D2:D9,D11:D16)</f>
        <v>11.105869774461322</v>
      </c>
    </row>
    <row r="29" spans="1:10" x14ac:dyDescent="0.25">
      <c r="C29" s="47"/>
      <c r="D29" s="17"/>
      <c r="E29" s="17"/>
    </row>
    <row r="30" spans="1:10" x14ac:dyDescent="0.25">
      <c r="C30" s="17"/>
      <c r="D30" s="189"/>
      <c r="E30" s="189" t="s">
        <v>446</v>
      </c>
      <c r="F30" s="189">
        <f>(F26-E26)/E26*100</f>
        <v>8.106585458698131</v>
      </c>
    </row>
    <row r="31" spans="1:10" x14ac:dyDescent="0.25">
      <c r="C31" s="17"/>
      <c r="D31" s="17"/>
      <c r="E31" s="17"/>
    </row>
    <row r="32" spans="1:10" x14ac:dyDescent="0.25">
      <c r="A32" s="62"/>
      <c r="C32" s="17"/>
      <c r="D32" s="17"/>
      <c r="E32" s="17"/>
    </row>
    <row r="33" spans="3:9" x14ac:dyDescent="0.25">
      <c r="C33" s="17"/>
      <c r="D33" s="17"/>
      <c r="E33" s="17"/>
    </row>
    <row r="34" spans="3:9" x14ac:dyDescent="0.25">
      <c r="C34" s="6"/>
      <c r="D34" s="6"/>
      <c r="E34" s="6"/>
      <c r="F34" s="17"/>
      <c r="G34" s="6"/>
      <c r="H34" s="6"/>
      <c r="I34" s="6"/>
    </row>
    <row r="35" spans="3:9" x14ac:dyDescent="0.25">
      <c r="C35" s="6"/>
      <c r="D35" s="6"/>
      <c r="E35" s="6"/>
      <c r="F35" s="17"/>
      <c r="G35" s="6"/>
      <c r="H35" s="6"/>
      <c r="I35" s="6"/>
    </row>
  </sheetData>
  <mergeCells count="3">
    <mergeCell ref="C26:D26"/>
    <mergeCell ref="N1:O1"/>
    <mergeCell ref="L1:M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/>
  <dimension ref="A1:N25"/>
  <sheetViews>
    <sheetView workbookViewId="0">
      <selection activeCell="L18" sqref="L18"/>
    </sheetView>
  </sheetViews>
  <sheetFormatPr defaultRowHeight="15" x14ac:dyDescent="0.25"/>
  <cols>
    <col min="3" max="3" width="17.85546875" customWidth="1"/>
    <col min="4" max="5" width="14.5703125" customWidth="1"/>
    <col min="8" max="8" width="15.7109375" customWidth="1"/>
    <col min="10" max="10" width="9.140625" style="4"/>
    <col min="11" max="11" width="19.28515625" customWidth="1"/>
  </cols>
  <sheetData>
    <row r="1" spans="1:14" x14ac:dyDescent="0.25">
      <c r="A1" s="4" t="s">
        <v>0</v>
      </c>
      <c r="C1" t="s">
        <v>171</v>
      </c>
      <c r="D1" t="s">
        <v>172</v>
      </c>
      <c r="E1" t="s">
        <v>173</v>
      </c>
      <c r="G1" s="2" t="s">
        <v>174</v>
      </c>
      <c r="H1" s="2" t="s">
        <v>175</v>
      </c>
      <c r="I1" s="2" t="s">
        <v>176</v>
      </c>
      <c r="K1" t="s">
        <v>178</v>
      </c>
      <c r="L1" t="s">
        <v>179</v>
      </c>
      <c r="M1" t="s">
        <v>180</v>
      </c>
    </row>
    <row r="2" spans="1:14" x14ac:dyDescent="0.25">
      <c r="A2" s="4" t="s">
        <v>11</v>
      </c>
      <c r="C2" s="21">
        <v>40</v>
      </c>
      <c r="D2" s="21">
        <v>35</v>
      </c>
      <c r="E2" s="21">
        <v>27</v>
      </c>
      <c r="F2" s="5"/>
      <c r="G2" s="5"/>
      <c r="H2" s="5"/>
      <c r="I2" s="5"/>
      <c r="J2" s="7"/>
      <c r="K2" s="7">
        <v>40</v>
      </c>
      <c r="L2" s="7">
        <v>35</v>
      </c>
      <c r="M2" s="7">
        <v>27</v>
      </c>
    </row>
    <row r="3" spans="1:14" x14ac:dyDescent="0.25">
      <c r="A3" s="7" t="s">
        <v>10</v>
      </c>
      <c r="B3" s="5"/>
      <c r="C3" s="22">
        <v>64</v>
      </c>
      <c r="D3" s="22">
        <v>33</v>
      </c>
      <c r="E3" s="22">
        <v>29</v>
      </c>
      <c r="F3" s="5"/>
      <c r="G3" s="5"/>
      <c r="H3" s="5"/>
      <c r="I3" s="5"/>
      <c r="J3" s="7"/>
      <c r="K3" s="53">
        <v>64</v>
      </c>
      <c r="L3" s="53">
        <v>33</v>
      </c>
      <c r="M3" s="53">
        <v>29</v>
      </c>
      <c r="N3" s="5"/>
    </row>
    <row r="4" spans="1:14" x14ac:dyDescent="0.25">
      <c r="A4" s="7" t="s">
        <v>12</v>
      </c>
      <c r="B4" s="5"/>
      <c r="C4" s="22">
        <v>39</v>
      </c>
      <c r="D4" s="22">
        <v>28</v>
      </c>
      <c r="E4" s="22">
        <v>24</v>
      </c>
      <c r="F4" s="5"/>
      <c r="G4" s="5"/>
      <c r="H4" s="5"/>
      <c r="I4" s="5"/>
      <c r="J4" s="7"/>
      <c r="K4" s="53">
        <v>39</v>
      </c>
      <c r="L4" s="53">
        <v>28</v>
      </c>
      <c r="M4" s="53">
        <v>24</v>
      </c>
      <c r="N4" s="5"/>
    </row>
    <row r="5" spans="1:14" x14ac:dyDescent="0.25">
      <c r="A5" s="7" t="s">
        <v>13</v>
      </c>
      <c r="B5" s="5"/>
      <c r="C5" s="5"/>
      <c r="D5" s="5"/>
      <c r="E5" s="5"/>
      <c r="F5" s="5"/>
      <c r="G5" s="21">
        <v>37</v>
      </c>
      <c r="H5" s="21">
        <v>25</v>
      </c>
      <c r="I5" s="21">
        <v>28</v>
      </c>
      <c r="J5" s="7"/>
      <c r="K5" s="7">
        <v>37</v>
      </c>
      <c r="L5" s="7">
        <v>25</v>
      </c>
      <c r="M5" s="7">
        <v>28</v>
      </c>
      <c r="N5" s="5"/>
    </row>
    <row r="6" spans="1:14" x14ac:dyDescent="0.25">
      <c r="A6" s="7" t="s">
        <v>14</v>
      </c>
      <c r="B6" s="5"/>
      <c r="C6" s="21">
        <v>32</v>
      </c>
      <c r="D6" s="21">
        <v>28</v>
      </c>
      <c r="E6" s="21">
        <v>28</v>
      </c>
      <c r="F6" s="5"/>
      <c r="G6" s="7">
        <v>44</v>
      </c>
      <c r="H6" s="7">
        <v>30</v>
      </c>
      <c r="I6" s="7">
        <v>25</v>
      </c>
      <c r="J6" s="7"/>
      <c r="K6" s="7">
        <v>32</v>
      </c>
      <c r="L6" s="7">
        <v>28</v>
      </c>
      <c r="M6" s="7">
        <v>28</v>
      </c>
      <c r="N6" s="5"/>
    </row>
    <row r="7" spans="1:14" x14ac:dyDescent="0.25">
      <c r="A7" s="7" t="s">
        <v>15</v>
      </c>
      <c r="B7" s="5"/>
      <c r="C7" s="21">
        <v>43</v>
      </c>
      <c r="D7" s="21">
        <v>25</v>
      </c>
      <c r="E7" s="21">
        <v>32</v>
      </c>
      <c r="F7" s="5"/>
      <c r="G7" s="7">
        <v>24</v>
      </c>
      <c r="H7" s="7">
        <v>29</v>
      </c>
      <c r="I7" s="7">
        <v>31</v>
      </c>
      <c r="J7" s="7"/>
      <c r="K7" s="7">
        <v>43</v>
      </c>
      <c r="L7" s="7">
        <v>25</v>
      </c>
      <c r="M7" s="7">
        <v>32</v>
      </c>
      <c r="N7" s="5"/>
    </row>
    <row r="8" spans="1:14" x14ac:dyDescent="0.25">
      <c r="A8" s="7" t="s">
        <v>16</v>
      </c>
      <c r="B8" s="5"/>
      <c r="C8" s="21">
        <v>49</v>
      </c>
      <c r="D8" s="21">
        <v>35</v>
      </c>
      <c r="E8" s="21">
        <v>19</v>
      </c>
      <c r="F8" s="5"/>
      <c r="G8" s="7">
        <v>43</v>
      </c>
      <c r="H8" s="7">
        <v>30</v>
      </c>
      <c r="I8" s="7">
        <v>30</v>
      </c>
      <c r="J8" s="7"/>
      <c r="K8" s="7">
        <v>49</v>
      </c>
      <c r="L8" s="7">
        <v>35</v>
      </c>
      <c r="M8" s="7">
        <v>19</v>
      </c>
      <c r="N8" s="5"/>
    </row>
    <row r="9" spans="1:14" x14ac:dyDescent="0.25">
      <c r="A9" s="5" t="s">
        <v>112</v>
      </c>
      <c r="B9" s="5"/>
      <c r="C9" s="21">
        <v>36</v>
      </c>
      <c r="D9" s="21">
        <v>23</v>
      </c>
      <c r="E9" s="21">
        <v>26</v>
      </c>
      <c r="F9" s="5"/>
      <c r="G9" s="7">
        <v>29</v>
      </c>
      <c r="H9" s="7">
        <v>15</v>
      </c>
      <c r="I9" s="7">
        <v>31</v>
      </c>
      <c r="J9" s="7"/>
      <c r="K9" s="7">
        <v>36</v>
      </c>
      <c r="L9" s="7">
        <v>23</v>
      </c>
      <c r="M9" s="7">
        <v>26</v>
      </c>
      <c r="N9" s="5"/>
    </row>
    <row r="10" spans="1:14" x14ac:dyDescent="0.25">
      <c r="A10" s="5" t="s">
        <v>113</v>
      </c>
      <c r="B10" s="5"/>
      <c r="C10" s="21">
        <v>36</v>
      </c>
      <c r="D10" s="21">
        <v>19</v>
      </c>
      <c r="E10" s="21">
        <v>34</v>
      </c>
      <c r="F10" s="5"/>
      <c r="G10" s="7">
        <v>30</v>
      </c>
      <c r="H10" s="7">
        <v>18</v>
      </c>
      <c r="I10" s="7">
        <v>34</v>
      </c>
      <c r="J10" s="7"/>
      <c r="K10" s="7">
        <v>36</v>
      </c>
      <c r="L10" s="7">
        <v>19</v>
      </c>
      <c r="M10" s="7">
        <v>34</v>
      </c>
      <c r="N10" s="5"/>
    </row>
    <row r="11" spans="1:14" x14ac:dyDescent="0.25">
      <c r="A11" s="5" t="s">
        <v>114</v>
      </c>
      <c r="B11" s="5"/>
      <c r="C11" s="21">
        <v>46</v>
      </c>
      <c r="D11" s="21">
        <v>29</v>
      </c>
      <c r="E11" s="21">
        <v>21</v>
      </c>
      <c r="F11" s="5"/>
      <c r="G11" s="7">
        <v>51</v>
      </c>
      <c r="H11" s="7">
        <v>19</v>
      </c>
      <c r="I11" s="7">
        <v>27</v>
      </c>
      <c r="J11" s="7"/>
      <c r="K11" s="7">
        <v>46</v>
      </c>
      <c r="L11" s="7">
        <v>29</v>
      </c>
      <c r="M11" s="7">
        <v>21</v>
      </c>
      <c r="N11" s="5"/>
    </row>
    <row r="12" spans="1:14" x14ac:dyDescent="0.25">
      <c r="A12" s="5" t="s">
        <v>115</v>
      </c>
      <c r="B12" s="5"/>
      <c r="C12" s="21">
        <v>51</v>
      </c>
      <c r="D12" s="21">
        <v>17</v>
      </c>
      <c r="E12" s="21">
        <v>46</v>
      </c>
      <c r="F12" s="5"/>
      <c r="G12" s="5">
        <v>49</v>
      </c>
      <c r="H12" s="5">
        <v>27</v>
      </c>
      <c r="I12" s="5">
        <v>38</v>
      </c>
      <c r="J12" s="7"/>
      <c r="K12" s="7">
        <v>51</v>
      </c>
      <c r="L12" s="7">
        <v>17</v>
      </c>
      <c r="M12" s="7">
        <v>46</v>
      </c>
      <c r="N12" s="5"/>
    </row>
    <row r="13" spans="1:14" x14ac:dyDescent="0.25">
      <c r="A13" s="5" t="s">
        <v>117</v>
      </c>
      <c r="B13" s="5"/>
      <c r="C13" s="21">
        <v>22</v>
      </c>
      <c r="D13" s="21">
        <v>14</v>
      </c>
      <c r="E13" s="21">
        <v>32</v>
      </c>
      <c r="F13" s="5"/>
      <c r="G13" s="7">
        <v>32</v>
      </c>
      <c r="H13" s="7">
        <v>12</v>
      </c>
      <c r="I13" s="7">
        <v>31</v>
      </c>
      <c r="J13" s="7"/>
      <c r="K13" s="7">
        <v>22</v>
      </c>
      <c r="L13" s="7">
        <v>14</v>
      </c>
      <c r="M13" s="7">
        <v>32</v>
      </c>
      <c r="N13" s="5"/>
    </row>
    <row r="14" spans="1:14" x14ac:dyDescent="0.25">
      <c r="A14" s="5" t="s">
        <v>121</v>
      </c>
      <c r="B14" s="5"/>
      <c r="C14" s="21">
        <v>34</v>
      </c>
      <c r="D14" s="21">
        <v>16</v>
      </c>
      <c r="E14" s="21">
        <v>39</v>
      </c>
      <c r="F14" s="5"/>
      <c r="G14" s="7">
        <v>43</v>
      </c>
      <c r="H14" s="7">
        <v>20</v>
      </c>
      <c r="I14" s="7">
        <v>44</v>
      </c>
      <c r="J14" s="7"/>
      <c r="K14" s="7">
        <v>34</v>
      </c>
      <c r="L14" s="7">
        <v>16</v>
      </c>
      <c r="M14" s="7">
        <v>39</v>
      </c>
      <c r="N14" s="5"/>
    </row>
    <row r="15" spans="1:14" x14ac:dyDescent="0.25">
      <c r="A15" s="5" t="s">
        <v>122</v>
      </c>
      <c r="B15" s="5"/>
      <c r="C15" s="21">
        <v>39</v>
      </c>
      <c r="D15" s="21">
        <v>9</v>
      </c>
      <c r="E15" s="21">
        <v>27</v>
      </c>
      <c r="F15" s="5"/>
      <c r="G15" s="5">
        <v>34</v>
      </c>
      <c r="H15" s="5">
        <v>15</v>
      </c>
      <c r="I15" s="5">
        <v>29</v>
      </c>
      <c r="J15" s="7"/>
      <c r="K15" s="7">
        <v>39</v>
      </c>
      <c r="L15" s="7">
        <v>9</v>
      </c>
      <c r="M15" s="7">
        <v>27</v>
      </c>
      <c r="N15" s="5"/>
    </row>
    <row r="16" spans="1:14" x14ac:dyDescent="0.25">
      <c r="A16" s="90" t="s">
        <v>123</v>
      </c>
      <c r="C16" s="58" t="s">
        <v>148</v>
      </c>
      <c r="D16" s="69" t="s">
        <v>151</v>
      </c>
      <c r="G16" s="58" t="s">
        <v>148</v>
      </c>
      <c r="H16" s="69" t="s">
        <v>151</v>
      </c>
      <c r="K16" s="58" t="s">
        <v>148</v>
      </c>
      <c r="L16" s="69" t="s">
        <v>151</v>
      </c>
    </row>
    <row r="17" spans="1:13" x14ac:dyDescent="0.25">
      <c r="A17" t="s">
        <v>17</v>
      </c>
      <c r="K17" s="27">
        <f>AVERAGE(K2:K16)</f>
        <v>40.571428571428569</v>
      </c>
      <c r="L17" s="27">
        <f>AVERAGE(L2:L16)</f>
        <v>24</v>
      </c>
      <c r="M17" s="27">
        <f>AVERAGE(M2:M16)</f>
        <v>29.428571428571427</v>
      </c>
    </row>
    <row r="18" spans="1:13" x14ac:dyDescent="0.25">
      <c r="A18" t="s">
        <v>168</v>
      </c>
      <c r="K18">
        <f>STDEV(K2:K16)</f>
        <v>9.943798111341609</v>
      </c>
      <c r="L18" s="2">
        <f t="shared" ref="L18:M18" si="0">STDEV(L2:L16)</f>
        <v>8.0670269044377854</v>
      </c>
      <c r="M18" s="2">
        <f t="shared" si="0"/>
        <v>7.0023543921289058</v>
      </c>
    </row>
    <row r="19" spans="1:13" x14ac:dyDescent="0.25">
      <c r="I19" s="2"/>
      <c r="K19" s="2"/>
      <c r="L19" s="2"/>
    </row>
    <row r="20" spans="1:13" x14ac:dyDescent="0.25">
      <c r="A20" s="1" t="s">
        <v>169</v>
      </c>
    </row>
    <row r="21" spans="1:13" x14ac:dyDescent="0.25">
      <c r="A21" t="s">
        <v>170</v>
      </c>
    </row>
    <row r="23" spans="1:13" x14ac:dyDescent="0.25">
      <c r="A23" t="s">
        <v>177</v>
      </c>
    </row>
    <row r="25" spans="1:13" x14ac:dyDescent="0.25">
      <c r="A25" s="3" t="s">
        <v>181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A1:AG31"/>
  <sheetViews>
    <sheetView workbookViewId="0">
      <selection activeCell="I11" sqref="I11"/>
    </sheetView>
  </sheetViews>
  <sheetFormatPr defaultColWidth="9.140625" defaultRowHeight="15" x14ac:dyDescent="0.25"/>
  <cols>
    <col min="1" max="1" width="9.140625" style="20"/>
    <col min="2" max="2" width="19.85546875" style="248" customWidth="1"/>
    <col min="3" max="3" width="14.5703125" style="15" customWidth="1"/>
    <col min="4" max="4" width="15" style="15" customWidth="1"/>
    <col min="5" max="5" width="9.140625" style="15"/>
    <col min="6" max="6" width="14.28515625" style="15" bestFit="1" customWidth="1"/>
    <col min="7" max="9" width="14.28515625" style="248" customWidth="1"/>
    <col min="10" max="10" width="18.42578125" style="15" customWidth="1"/>
    <col min="11" max="11" width="12.85546875" style="15" customWidth="1"/>
    <col min="12" max="12" width="14.7109375" style="15" customWidth="1"/>
    <col min="13" max="13" width="12.85546875" style="15" customWidth="1"/>
    <col min="14" max="14" width="14.28515625" style="15" bestFit="1" customWidth="1"/>
    <col min="15" max="15" width="14.7109375" style="15" bestFit="1" customWidth="1"/>
    <col min="16" max="22" width="9.140625" style="15"/>
    <col min="23" max="23" width="9.140625" style="2"/>
    <col min="24" max="24" width="19.85546875" style="2" customWidth="1"/>
    <col min="25" max="25" width="24.7109375" style="2" customWidth="1"/>
    <col min="26" max="26" width="21.140625" style="2" customWidth="1"/>
    <col min="27" max="27" width="25.5703125" style="2" customWidth="1"/>
    <col min="28" max="28" width="9.140625" style="2"/>
    <col min="29" max="29" width="9.5703125" style="15" bestFit="1" customWidth="1"/>
    <col min="30" max="30" width="16.140625" style="15" customWidth="1"/>
    <col min="31" max="31" width="21.7109375" style="15" customWidth="1"/>
    <col min="32" max="16384" width="9.140625" style="2"/>
  </cols>
  <sheetData>
    <row r="1" spans="1:33" s="66" customFormat="1" x14ac:dyDescent="0.25">
      <c r="A1" s="64"/>
      <c r="B1" s="248" t="s">
        <v>2</v>
      </c>
      <c r="C1" s="65" t="s">
        <v>19</v>
      </c>
      <c r="D1" s="65" t="s">
        <v>20</v>
      </c>
      <c r="E1" s="65" t="s">
        <v>23</v>
      </c>
      <c r="F1" s="261"/>
      <c r="G1" s="284" t="s">
        <v>495</v>
      </c>
      <c r="H1" s="284"/>
      <c r="I1" s="284" t="s">
        <v>496</v>
      </c>
      <c r="J1" s="285"/>
      <c r="K1" s="65" t="s">
        <v>24</v>
      </c>
      <c r="L1" s="65" t="s">
        <v>25</v>
      </c>
      <c r="M1" s="65" t="s">
        <v>23</v>
      </c>
      <c r="N1" s="65"/>
      <c r="O1" s="65" t="s">
        <v>138</v>
      </c>
      <c r="P1" s="65" t="s">
        <v>139</v>
      </c>
      <c r="Q1" s="65" t="s">
        <v>23</v>
      </c>
      <c r="R1" s="64"/>
      <c r="S1" s="64" t="s">
        <v>140</v>
      </c>
      <c r="T1" s="64" t="s">
        <v>141</v>
      </c>
      <c r="U1" s="64" t="s">
        <v>23</v>
      </c>
      <c r="V1" s="64"/>
      <c r="X1" s="65" t="s">
        <v>430</v>
      </c>
      <c r="Y1" s="65" t="s">
        <v>437</v>
      </c>
      <c r="Z1" s="52" t="s">
        <v>431</v>
      </c>
      <c r="AA1" s="52" t="s">
        <v>436</v>
      </c>
      <c r="AB1" s="52" t="s">
        <v>23</v>
      </c>
      <c r="AC1" s="64"/>
      <c r="AD1" s="64" t="s">
        <v>433</v>
      </c>
      <c r="AE1" s="64" t="s">
        <v>432</v>
      </c>
      <c r="AG1" s="64" t="s">
        <v>23</v>
      </c>
    </row>
    <row r="2" spans="1:33" x14ac:dyDescent="0.25">
      <c r="A2" s="64" t="s">
        <v>11</v>
      </c>
      <c r="B2" s="248">
        <v>1</v>
      </c>
      <c r="C2" s="6">
        <v>13</v>
      </c>
      <c r="D2" s="6">
        <v>16</v>
      </c>
      <c r="E2" s="39">
        <f>(D2-C2)/C2*100</f>
        <v>23.076923076923077</v>
      </c>
      <c r="F2" s="262"/>
      <c r="G2" s="252" t="s">
        <v>19</v>
      </c>
      <c r="H2" s="252" t="s">
        <v>20</v>
      </c>
      <c r="I2" s="252" t="s">
        <v>19</v>
      </c>
      <c r="J2" s="253" t="s">
        <v>20</v>
      </c>
      <c r="K2" s="78"/>
      <c r="L2" s="79" t="s">
        <v>166</v>
      </c>
      <c r="M2" s="80"/>
      <c r="N2" s="17"/>
      <c r="O2" s="17">
        <v>31.066666666666666</v>
      </c>
      <c r="P2" s="17">
        <v>45.833333333333336</v>
      </c>
      <c r="Q2" s="17">
        <f>(P2-O2)/O2*100</f>
        <v>47.53218884120173</v>
      </c>
      <c r="S2" s="76">
        <v>38.200000000000003</v>
      </c>
      <c r="T2" s="76">
        <v>49.1</v>
      </c>
      <c r="U2" s="15">
        <f>(T2-S2)/S2*100</f>
        <v>28.53403141361256</v>
      </c>
      <c r="X2" s="81" t="s">
        <v>166</v>
      </c>
      <c r="Y2" s="81">
        <v>52.879818594104307</v>
      </c>
      <c r="Z2" s="81" t="s">
        <v>166</v>
      </c>
      <c r="AA2" s="81">
        <v>51.882086167800452</v>
      </c>
      <c r="AB2" s="4"/>
      <c r="AD2" s="80" t="s">
        <v>166</v>
      </c>
    </row>
    <row r="3" spans="1:33" x14ac:dyDescent="0.25">
      <c r="A3" s="64" t="s">
        <v>10</v>
      </c>
      <c r="B3" s="248">
        <v>2</v>
      </c>
      <c r="C3" s="6">
        <v>20</v>
      </c>
      <c r="D3" s="6">
        <v>20</v>
      </c>
      <c r="E3" s="39">
        <f t="shared" ref="E3:E14" si="0">(D3-C3)/C3*100</f>
        <v>0</v>
      </c>
      <c r="F3" s="262"/>
      <c r="G3" s="6">
        <v>13</v>
      </c>
      <c r="H3" s="6">
        <v>16</v>
      </c>
      <c r="I3" s="6">
        <v>20</v>
      </c>
      <c r="J3" s="254">
        <v>20</v>
      </c>
      <c r="K3" s="6">
        <v>16</v>
      </c>
      <c r="L3" s="6">
        <v>16</v>
      </c>
      <c r="M3" s="17">
        <f>(L3-K3)/K3*100</f>
        <v>0</v>
      </c>
      <c r="N3" s="17"/>
      <c r="O3" s="17">
        <v>48.633333333333333</v>
      </c>
      <c r="P3" s="17">
        <v>57.733333333333327</v>
      </c>
      <c r="Q3" s="17">
        <f t="shared" ref="Q3:Q15" si="1">(P3-O3)/O3*100</f>
        <v>18.711446196024664</v>
      </c>
      <c r="S3" s="76">
        <v>54</v>
      </c>
      <c r="T3" s="76">
        <v>60.9</v>
      </c>
      <c r="U3" s="15">
        <f t="shared" ref="U3:U15" si="2">(T3-S3)/S3*100</f>
        <v>12.777777777777773</v>
      </c>
      <c r="X3" s="6">
        <v>271.27438799999999</v>
      </c>
      <c r="Y3" s="6">
        <v>85.850340136054427</v>
      </c>
      <c r="Z3" s="6">
        <v>276.30810899999994</v>
      </c>
      <c r="AA3" s="6">
        <v>86.122448979591837</v>
      </c>
      <c r="AB3" s="7">
        <f>(Z3-X3)/X3*100</f>
        <v>1.8555828425645393</v>
      </c>
      <c r="AD3" s="15">
        <f>X3/Y3</f>
        <v>3.15985222155309</v>
      </c>
      <c r="AE3" s="15">
        <f>Z3/AA3</f>
        <v>3.2083169054502365</v>
      </c>
      <c r="AG3" s="2">
        <f>(AE3-AD3)/AD3*100</f>
        <v>1.5337642553842532</v>
      </c>
    </row>
    <row r="4" spans="1:33" x14ac:dyDescent="0.25">
      <c r="A4" s="64" t="s">
        <v>12</v>
      </c>
      <c r="B4" s="248">
        <v>1</v>
      </c>
      <c r="C4" s="6">
        <v>11</v>
      </c>
      <c r="D4" s="6">
        <v>13</v>
      </c>
      <c r="E4" s="39">
        <f t="shared" si="0"/>
        <v>18.181818181818183</v>
      </c>
      <c r="F4" s="262"/>
      <c r="G4" s="6">
        <v>11</v>
      </c>
      <c r="H4" s="6">
        <v>13</v>
      </c>
      <c r="I4" s="63">
        <v>23</v>
      </c>
      <c r="J4" s="255">
        <v>24</v>
      </c>
      <c r="K4" s="6">
        <v>12</v>
      </c>
      <c r="L4" s="6">
        <v>15</v>
      </c>
      <c r="M4" s="17">
        <f t="shared" ref="M4:M15" si="3">(L4-K4)/K4*100</f>
        <v>25</v>
      </c>
      <c r="N4" s="17"/>
      <c r="O4" s="17">
        <v>43.566666666666663</v>
      </c>
      <c r="P4" s="17">
        <v>44.133333333333326</v>
      </c>
      <c r="Q4" s="17">
        <f t="shared" si="1"/>
        <v>1.3006885998469691</v>
      </c>
      <c r="S4" s="76">
        <v>45.6</v>
      </c>
      <c r="T4" s="76">
        <v>45.5</v>
      </c>
      <c r="U4" s="15">
        <f t="shared" si="2"/>
        <v>-0.21929824561403821</v>
      </c>
      <c r="X4" s="6">
        <v>159.15645899999998</v>
      </c>
      <c r="Y4" s="6">
        <v>88.707482993197274</v>
      </c>
      <c r="Z4" s="6">
        <v>145.683615</v>
      </c>
      <c r="AA4" s="6">
        <v>87.210884353741505</v>
      </c>
      <c r="AB4" s="7">
        <f t="shared" ref="AB4:AB15" si="4">(Z4-X4)/X4*100</f>
        <v>-8.4651569183252455</v>
      </c>
      <c r="AD4" s="15">
        <f t="shared" ref="AD4:AD15" si="5">X4/Y4</f>
        <v>1.7941717387269938</v>
      </c>
      <c r="AE4" s="15">
        <f t="shared" ref="AE4:AE15" si="6">Z4/AA4</f>
        <v>1.6704751485959437</v>
      </c>
      <c r="AG4" s="2">
        <f t="shared" ref="AG4:AG15" si="7">(AE4-AD4)/AD4*100</f>
        <v>-6.8943561790141468</v>
      </c>
    </row>
    <row r="5" spans="1:33" s="27" customFormat="1" x14ac:dyDescent="0.25">
      <c r="A5" s="26" t="s">
        <v>13</v>
      </c>
      <c r="B5" s="26">
        <v>1</v>
      </c>
      <c r="C5" s="29">
        <v>17</v>
      </c>
      <c r="D5" s="29">
        <v>20</v>
      </c>
      <c r="E5" s="40">
        <f t="shared" si="0"/>
        <v>17.647058823529413</v>
      </c>
      <c r="F5" s="263"/>
      <c r="G5" s="63">
        <v>17</v>
      </c>
      <c r="H5" s="63">
        <v>20</v>
      </c>
      <c r="I5" s="63">
        <v>16</v>
      </c>
      <c r="J5" s="255">
        <v>28</v>
      </c>
      <c r="K5" s="29">
        <v>9</v>
      </c>
      <c r="L5" s="29">
        <v>10</v>
      </c>
      <c r="M5" s="32">
        <f t="shared" si="3"/>
        <v>11.111111111111111</v>
      </c>
      <c r="N5" s="32"/>
      <c r="O5" s="32">
        <v>45.4</v>
      </c>
      <c r="P5" s="32">
        <v>37.966666666666669</v>
      </c>
      <c r="Q5" s="32">
        <f t="shared" si="1"/>
        <v>-16.372980910425838</v>
      </c>
      <c r="R5" s="26"/>
      <c r="S5" s="77">
        <v>47.3</v>
      </c>
      <c r="T5" s="77">
        <v>41.2</v>
      </c>
      <c r="U5" s="26">
        <f t="shared" si="2"/>
        <v>-12.896405919661721</v>
      </c>
      <c r="V5" s="26"/>
      <c r="X5" s="63">
        <v>139.46624999999997</v>
      </c>
      <c r="Y5" s="63">
        <v>60.272108843537417</v>
      </c>
      <c r="Z5" s="63">
        <v>163.59674099999998</v>
      </c>
      <c r="AA5" s="63">
        <v>58.956916099773238</v>
      </c>
      <c r="AB5" s="31">
        <f t="shared" si="4"/>
        <v>17.302028985507253</v>
      </c>
      <c r="AC5" s="26"/>
      <c r="AD5" s="15">
        <f t="shared" si="5"/>
        <v>2.3139434255079001</v>
      </c>
      <c r="AE5" s="15">
        <f t="shared" si="6"/>
        <v>2.774852414653846</v>
      </c>
      <c r="AG5" s="2">
        <f t="shared" si="7"/>
        <v>19.918766555183971</v>
      </c>
    </row>
    <row r="6" spans="1:33" s="27" customFormat="1" x14ac:dyDescent="0.25">
      <c r="A6" s="26" t="s">
        <v>14</v>
      </c>
      <c r="B6" s="26">
        <v>2</v>
      </c>
      <c r="C6" s="29">
        <v>23</v>
      </c>
      <c r="D6" s="29">
        <v>24</v>
      </c>
      <c r="E6" s="40">
        <f t="shared" si="0"/>
        <v>4.3478260869565215</v>
      </c>
      <c r="F6" s="263"/>
      <c r="G6" s="63">
        <v>13</v>
      </c>
      <c r="H6" s="63">
        <v>19</v>
      </c>
      <c r="I6" s="63">
        <v>15</v>
      </c>
      <c r="J6" s="255">
        <v>16</v>
      </c>
      <c r="K6" s="29">
        <v>13</v>
      </c>
      <c r="L6" s="29">
        <v>15</v>
      </c>
      <c r="M6" s="32">
        <f t="shared" si="3"/>
        <v>15.384615384615385</v>
      </c>
      <c r="N6" s="32"/>
      <c r="O6" s="32">
        <v>56.866666666666667</v>
      </c>
      <c r="P6" s="32">
        <v>56.433333333333337</v>
      </c>
      <c r="Q6" s="32">
        <f t="shared" si="1"/>
        <v>-0.76201641266118991</v>
      </c>
      <c r="R6" s="26"/>
      <c r="S6" s="77">
        <v>63.8</v>
      </c>
      <c r="T6" s="77">
        <v>61.7</v>
      </c>
      <c r="U6" s="26">
        <f t="shared" si="2"/>
        <v>-3.2915360501567315</v>
      </c>
      <c r="V6" s="26"/>
      <c r="X6" s="63">
        <v>339.12694200000004</v>
      </c>
      <c r="Y6" s="63">
        <v>96.326530612244895</v>
      </c>
      <c r="Z6" s="63">
        <v>329.355411</v>
      </c>
      <c r="AA6" s="63">
        <v>98.095238095238102</v>
      </c>
      <c r="AB6" s="31">
        <f t="shared" si="4"/>
        <v>-2.8813785605981246</v>
      </c>
      <c r="AC6" s="26"/>
      <c r="AD6" s="15">
        <f t="shared" si="5"/>
        <v>3.5205974911016953</v>
      </c>
      <c r="AE6" s="15">
        <f t="shared" si="6"/>
        <v>3.3575066169902912</v>
      </c>
      <c r="AG6" s="2">
        <f t="shared" si="7"/>
        <v>-4.6324771441102266</v>
      </c>
    </row>
    <row r="7" spans="1:33" s="27" customFormat="1" x14ac:dyDescent="0.25">
      <c r="A7" s="26" t="s">
        <v>15</v>
      </c>
      <c r="B7" s="26">
        <v>1</v>
      </c>
      <c r="C7" s="29">
        <v>13</v>
      </c>
      <c r="D7" s="29">
        <v>19</v>
      </c>
      <c r="E7" s="40">
        <f t="shared" si="0"/>
        <v>46.153846153846153</v>
      </c>
      <c r="F7" s="263"/>
      <c r="G7" s="63">
        <v>21</v>
      </c>
      <c r="H7" s="63">
        <v>23</v>
      </c>
      <c r="I7" s="63">
        <v>11</v>
      </c>
      <c r="J7" s="255">
        <v>15</v>
      </c>
      <c r="K7" s="29">
        <v>10</v>
      </c>
      <c r="L7" s="29">
        <v>15</v>
      </c>
      <c r="M7" s="32">
        <f t="shared" si="3"/>
        <v>50</v>
      </c>
      <c r="N7" s="32"/>
      <c r="O7" s="32">
        <v>42.833333333333336</v>
      </c>
      <c r="P7" s="32">
        <v>51.800000000000004</v>
      </c>
      <c r="Q7" s="32">
        <f t="shared" si="1"/>
        <v>20.933852140077825</v>
      </c>
      <c r="R7" s="26"/>
      <c r="S7" s="77">
        <v>47.7</v>
      </c>
      <c r="T7" s="77">
        <v>59.2</v>
      </c>
      <c r="U7" s="26">
        <f t="shared" si="2"/>
        <v>24.109014675052411</v>
      </c>
      <c r="V7" s="26"/>
      <c r="X7" s="63">
        <v>229.47655499999996</v>
      </c>
      <c r="Y7" s="63">
        <v>89.206349206349202</v>
      </c>
      <c r="Z7" s="63">
        <v>263.92188899999996</v>
      </c>
      <c r="AA7" s="63">
        <v>91.247165532879805</v>
      </c>
      <c r="AB7" s="31">
        <f t="shared" si="4"/>
        <v>15.01039354543213</v>
      </c>
      <c r="AC7" s="26"/>
      <c r="AD7" s="15">
        <f t="shared" si="5"/>
        <v>2.5724240151245548</v>
      </c>
      <c r="AE7" s="15">
        <f t="shared" si="6"/>
        <v>2.8923845191103381</v>
      </c>
      <c r="AG7" s="2">
        <f t="shared" si="7"/>
        <v>12.438093490986599</v>
      </c>
    </row>
    <row r="8" spans="1:33" s="27" customFormat="1" x14ac:dyDescent="0.25">
      <c r="A8" s="26" t="s">
        <v>16</v>
      </c>
      <c r="B8" s="26">
        <v>2</v>
      </c>
      <c r="C8" s="29">
        <v>16</v>
      </c>
      <c r="D8" s="29">
        <v>28</v>
      </c>
      <c r="E8" s="40">
        <f t="shared" si="0"/>
        <v>75</v>
      </c>
      <c r="F8" s="263"/>
      <c r="G8" s="63">
        <v>17</v>
      </c>
      <c r="H8" s="63">
        <v>19</v>
      </c>
      <c r="I8" s="63">
        <v>17</v>
      </c>
      <c r="J8" s="255">
        <v>18</v>
      </c>
      <c r="K8" s="29">
        <v>16</v>
      </c>
      <c r="L8" s="29">
        <v>16</v>
      </c>
      <c r="M8" s="32">
        <f t="shared" si="3"/>
        <v>0</v>
      </c>
      <c r="N8" s="32"/>
      <c r="O8" s="32">
        <v>45.933333333333337</v>
      </c>
      <c r="P8" s="32">
        <v>48.233333333333327</v>
      </c>
      <c r="Q8" s="32">
        <f t="shared" si="1"/>
        <v>5.0072568940493252</v>
      </c>
      <c r="R8" s="26"/>
      <c r="S8" s="77">
        <v>48.3</v>
      </c>
      <c r="T8" s="77">
        <v>51.9</v>
      </c>
      <c r="U8" s="26">
        <f t="shared" si="2"/>
        <v>7.4534161490683264</v>
      </c>
      <c r="V8" s="26"/>
      <c r="X8" s="63">
        <v>194.88407399999997</v>
      </c>
      <c r="Y8" s="63">
        <v>84.807256235827666</v>
      </c>
      <c r="Z8" s="63">
        <v>224.29568699999999</v>
      </c>
      <c r="AA8" s="63">
        <v>85.487528344671205</v>
      </c>
      <c r="AB8" s="31">
        <f t="shared" si="4"/>
        <v>15.091850450540162</v>
      </c>
      <c r="AC8" s="26"/>
      <c r="AD8" s="15">
        <f t="shared" si="5"/>
        <v>2.2979646158823526</v>
      </c>
      <c r="AE8" s="15">
        <f t="shared" si="6"/>
        <v>2.6237240840053047</v>
      </c>
      <c r="AG8" s="2">
        <f t="shared" si="7"/>
        <v>14.176000181702964</v>
      </c>
    </row>
    <row r="9" spans="1:33" s="27" customFormat="1" x14ac:dyDescent="0.25">
      <c r="A9" s="26" t="s">
        <v>112</v>
      </c>
      <c r="B9" s="26">
        <v>1</v>
      </c>
      <c r="C9" s="29">
        <v>21</v>
      </c>
      <c r="D9" s="29">
        <v>23</v>
      </c>
      <c r="E9" s="40">
        <f t="shared" si="0"/>
        <v>9.5238095238095237</v>
      </c>
      <c r="F9" s="263"/>
      <c r="G9" s="63">
        <v>14</v>
      </c>
      <c r="H9" s="63">
        <v>15</v>
      </c>
      <c r="I9" s="63"/>
      <c r="J9" s="257"/>
      <c r="K9" s="29">
        <v>16</v>
      </c>
      <c r="L9" s="29">
        <v>16</v>
      </c>
      <c r="M9" s="32">
        <f t="shared" si="3"/>
        <v>0</v>
      </c>
      <c r="N9" s="32"/>
      <c r="O9" s="32">
        <v>37.966666666666669</v>
      </c>
      <c r="P9" s="32">
        <v>30.900000000000002</v>
      </c>
      <c r="Q9" s="32">
        <f t="shared" si="1"/>
        <v>-18.612818261633009</v>
      </c>
      <c r="R9" s="26"/>
      <c r="S9" s="77">
        <v>39.1</v>
      </c>
      <c r="T9" s="77">
        <v>33.9</v>
      </c>
      <c r="U9" s="26">
        <f t="shared" si="2"/>
        <v>-13.299232736572897</v>
      </c>
      <c r="V9" s="26"/>
      <c r="X9" s="63">
        <v>143.167563</v>
      </c>
      <c r="Y9" s="63">
        <v>46.75736961451247</v>
      </c>
      <c r="Z9" s="63">
        <v>159.69815399999999</v>
      </c>
      <c r="AA9" s="63">
        <v>47.89115646258503</v>
      </c>
      <c r="AB9" s="31">
        <f t="shared" si="4"/>
        <v>11.546324218705873</v>
      </c>
      <c r="AC9" s="26"/>
      <c r="AD9" s="15">
        <f t="shared" si="5"/>
        <v>3.0619250864694472</v>
      </c>
      <c r="AE9" s="15">
        <f t="shared" si="6"/>
        <v>3.3346063406250002</v>
      </c>
      <c r="AG9" s="2">
        <f t="shared" si="7"/>
        <v>8.9055494976190985</v>
      </c>
    </row>
    <row r="10" spans="1:33" s="27" customFormat="1" x14ac:dyDescent="0.25">
      <c r="A10" s="26" t="s">
        <v>113</v>
      </c>
      <c r="B10" s="26">
        <v>1</v>
      </c>
      <c r="C10" s="29">
        <v>17</v>
      </c>
      <c r="D10" s="29">
        <v>19</v>
      </c>
      <c r="E10" s="40">
        <f t="shared" si="0"/>
        <v>11.76470588235294</v>
      </c>
      <c r="F10" s="263"/>
      <c r="G10" s="63"/>
      <c r="H10" s="63"/>
      <c r="I10" s="63"/>
      <c r="J10" s="257"/>
      <c r="K10" s="29">
        <v>12</v>
      </c>
      <c r="L10" s="29">
        <v>13</v>
      </c>
      <c r="M10" s="32">
        <f t="shared" si="3"/>
        <v>8.3333333333333321</v>
      </c>
      <c r="N10" s="32"/>
      <c r="O10" s="32">
        <v>31.3</v>
      </c>
      <c r="P10" s="32">
        <v>34.066666666666663</v>
      </c>
      <c r="Q10" s="32">
        <f t="shared" si="1"/>
        <v>8.8391906283279926</v>
      </c>
      <c r="R10" s="26"/>
      <c r="S10" s="77">
        <v>31.8</v>
      </c>
      <c r="T10" s="77">
        <v>34.9</v>
      </c>
      <c r="U10" s="26">
        <f t="shared" si="2"/>
        <v>9.7484276729559678</v>
      </c>
      <c r="V10" s="26"/>
      <c r="X10" s="63">
        <v>120.86266499999998</v>
      </c>
      <c r="Y10" s="63">
        <v>63.537414965986393</v>
      </c>
      <c r="Z10" s="63">
        <v>130.73121599999999</v>
      </c>
      <c r="AA10" s="63">
        <v>61.133786848072567</v>
      </c>
      <c r="AB10" s="31">
        <f t="shared" si="4"/>
        <v>8.1650946551608907</v>
      </c>
      <c r="AC10" s="26"/>
      <c r="AD10" s="15">
        <f t="shared" si="5"/>
        <v>1.9022282392933616</v>
      </c>
      <c r="AE10" s="15">
        <f t="shared" si="6"/>
        <v>2.1384445940652816</v>
      </c>
      <c r="AG10" s="2">
        <f t="shared" si="7"/>
        <v>12.417876566676853</v>
      </c>
    </row>
    <row r="11" spans="1:33" s="27" customFormat="1" x14ac:dyDescent="0.25">
      <c r="A11" s="26" t="s">
        <v>114</v>
      </c>
      <c r="B11" s="26">
        <v>2</v>
      </c>
      <c r="C11" s="29">
        <v>15</v>
      </c>
      <c r="D11" s="29">
        <v>16</v>
      </c>
      <c r="E11" s="40">
        <f t="shared" si="0"/>
        <v>6.666666666666667</v>
      </c>
      <c r="F11" s="263" t="s">
        <v>497</v>
      </c>
      <c r="G11" s="63">
        <f>AVERAGE(G3:G9)</f>
        <v>15.142857142857142</v>
      </c>
      <c r="H11" s="63">
        <f>AVERAGE(H3:H9)</f>
        <v>17.857142857142858</v>
      </c>
      <c r="I11" s="282">
        <f>AVERAGE(I3:I8)</f>
        <v>17</v>
      </c>
      <c r="J11" s="257">
        <f>AVERAGE(J3:J8)</f>
        <v>20.166666666666668</v>
      </c>
      <c r="K11" s="29">
        <v>14</v>
      </c>
      <c r="L11" s="29">
        <v>16</v>
      </c>
      <c r="M11" s="32">
        <f t="shared" si="3"/>
        <v>14.285714285714285</v>
      </c>
      <c r="N11" s="32"/>
      <c r="O11" s="32">
        <v>46.433333333333337</v>
      </c>
      <c r="P11" s="32">
        <v>36</v>
      </c>
      <c r="Q11" s="32">
        <f t="shared" si="1"/>
        <v>-22.469490308686296</v>
      </c>
      <c r="R11" s="26"/>
      <c r="S11" s="77">
        <v>49.9</v>
      </c>
      <c r="T11" s="77">
        <v>41.3</v>
      </c>
      <c r="U11" s="26">
        <f t="shared" si="2"/>
        <v>-17.234468937875754</v>
      </c>
      <c r="V11" s="26"/>
      <c r="X11" s="63">
        <v>204.65398799999997</v>
      </c>
      <c r="Y11" s="63">
        <v>92.653061224489804</v>
      </c>
      <c r="Z11" s="63">
        <v>246.30467399999998</v>
      </c>
      <c r="AA11" s="63">
        <v>91.700680272108841</v>
      </c>
      <c r="AB11" s="31">
        <f t="shared" si="4"/>
        <v>20.351758793969857</v>
      </c>
      <c r="AC11" s="26"/>
      <c r="AD11" s="15">
        <f t="shared" si="5"/>
        <v>2.208820575330396</v>
      </c>
      <c r="AE11" s="15">
        <f t="shared" si="6"/>
        <v>2.6859634330860533</v>
      </c>
      <c r="AG11" s="2">
        <f t="shared" si="7"/>
        <v>21.601702876399827</v>
      </c>
    </row>
    <row r="12" spans="1:33" s="27" customFormat="1" x14ac:dyDescent="0.25">
      <c r="A12" s="26" t="s">
        <v>115</v>
      </c>
      <c r="B12" s="26">
        <v>2</v>
      </c>
      <c r="C12" s="29">
        <v>11</v>
      </c>
      <c r="D12" s="29">
        <v>15</v>
      </c>
      <c r="E12" s="40">
        <f t="shared" si="0"/>
        <v>36.363636363636367</v>
      </c>
      <c r="F12" s="264" t="s">
        <v>460</v>
      </c>
      <c r="G12" s="265">
        <f>STDEV(G3:G9)</f>
        <v>3.387652649872841</v>
      </c>
      <c r="H12" s="265">
        <f>STDEV(H3:H9)</f>
        <v>3.3876526498728357</v>
      </c>
      <c r="I12" s="265">
        <f>STDEV(I3:I8)</f>
        <v>4.1472882706655438</v>
      </c>
      <c r="J12" s="260">
        <f>STDEV(J3:J8)</f>
        <v>4.9966655548142</v>
      </c>
      <c r="K12" s="29">
        <v>10</v>
      </c>
      <c r="L12" s="29">
        <v>12</v>
      </c>
      <c r="M12" s="32">
        <f t="shared" si="3"/>
        <v>20</v>
      </c>
      <c r="N12" s="32"/>
      <c r="O12" s="32">
        <v>41.300000000000004</v>
      </c>
      <c r="P12" s="32">
        <v>37.700000000000003</v>
      </c>
      <c r="Q12" s="32">
        <f t="shared" si="1"/>
        <v>-8.7167070217917697</v>
      </c>
      <c r="R12" s="26"/>
      <c r="S12" s="77">
        <v>42.7</v>
      </c>
      <c r="T12" s="77">
        <v>38.700000000000003</v>
      </c>
      <c r="U12" s="26">
        <f t="shared" si="2"/>
        <v>-9.3676814988290396</v>
      </c>
      <c r="V12" s="26"/>
      <c r="X12" s="63">
        <v>239.29659599999999</v>
      </c>
      <c r="Y12" s="63">
        <v>92.335600907029473</v>
      </c>
      <c r="Z12" s="63">
        <v>239.14783199999999</v>
      </c>
      <c r="AA12" s="63">
        <v>88.344671201814066</v>
      </c>
      <c r="AB12" s="31">
        <f t="shared" si="4"/>
        <v>-6.2167202746168569E-2</v>
      </c>
      <c r="AC12" s="26"/>
      <c r="AD12" s="15">
        <f t="shared" si="5"/>
        <v>2.5915962386051081</v>
      </c>
      <c r="AE12" s="15">
        <f t="shared" si="6"/>
        <v>2.7069864967145789</v>
      </c>
      <c r="AG12" s="2">
        <f t="shared" si="7"/>
        <v>4.4524782213597458</v>
      </c>
    </row>
    <row r="13" spans="1:33" s="27" customFormat="1" x14ac:dyDescent="0.25">
      <c r="A13" s="26" t="s">
        <v>117</v>
      </c>
      <c r="B13" s="26">
        <v>2</v>
      </c>
      <c r="C13" s="29">
        <v>17</v>
      </c>
      <c r="D13" s="29">
        <v>18</v>
      </c>
      <c r="E13" s="40">
        <f t="shared" si="0"/>
        <v>5.8823529411764701</v>
      </c>
      <c r="F13" s="32"/>
      <c r="G13" s="32"/>
      <c r="H13" s="32"/>
      <c r="I13" s="32"/>
      <c r="J13" s="26"/>
      <c r="K13" s="29">
        <v>16</v>
      </c>
      <c r="L13" s="29">
        <v>16</v>
      </c>
      <c r="M13" s="32">
        <f t="shared" si="3"/>
        <v>0</v>
      </c>
      <c r="N13" s="32"/>
      <c r="O13" s="32">
        <v>39.47</v>
      </c>
      <c r="P13" s="32">
        <v>34.299999999999997</v>
      </c>
      <c r="Q13" s="32">
        <f t="shared" si="1"/>
        <v>-13.098555865214093</v>
      </c>
      <c r="R13" s="26"/>
      <c r="S13" s="77">
        <v>41.5</v>
      </c>
      <c r="T13" s="77">
        <v>38.5</v>
      </c>
      <c r="U13" s="26">
        <f t="shared" si="2"/>
        <v>-7.2289156626506017</v>
      </c>
      <c r="V13" s="26"/>
      <c r="X13" s="63">
        <v>217.28760899999997</v>
      </c>
      <c r="Y13" s="63">
        <v>73.78684807256235</v>
      </c>
      <c r="Z13" s="63">
        <v>224.788872</v>
      </c>
      <c r="AA13" s="63">
        <v>71.97278911564625</v>
      </c>
      <c r="AB13" s="31">
        <f t="shared" si="4"/>
        <v>3.4522276877739602</v>
      </c>
      <c r="AC13" s="26"/>
      <c r="AD13" s="15">
        <f t="shared" si="5"/>
        <v>2.9448013389366934</v>
      </c>
      <c r="AE13" s="15">
        <f t="shared" si="6"/>
        <v>3.1232480325141778</v>
      </c>
      <c r="AG13" s="2">
        <f t="shared" si="7"/>
        <v>6.0597192489024687</v>
      </c>
    </row>
    <row r="14" spans="1:33" s="27" customFormat="1" x14ac:dyDescent="0.25">
      <c r="A14" s="26" t="s">
        <v>121</v>
      </c>
      <c r="B14" s="26">
        <v>1</v>
      </c>
      <c r="C14" s="29">
        <v>14</v>
      </c>
      <c r="D14" s="29">
        <v>15</v>
      </c>
      <c r="E14" s="40">
        <f t="shared" si="0"/>
        <v>7.1428571428571423</v>
      </c>
      <c r="F14" s="32"/>
      <c r="G14" s="32"/>
      <c r="H14" s="32"/>
      <c r="I14" s="32"/>
      <c r="J14" s="26"/>
      <c r="K14" s="29">
        <v>16</v>
      </c>
      <c r="L14" s="29">
        <v>16</v>
      </c>
      <c r="M14" s="32">
        <f t="shared" si="3"/>
        <v>0</v>
      </c>
      <c r="N14" s="32"/>
      <c r="O14" s="32">
        <v>34.53</v>
      </c>
      <c r="P14" s="32">
        <v>32.700000000000003</v>
      </c>
      <c r="Q14" s="32">
        <f t="shared" si="1"/>
        <v>-5.299739357080794</v>
      </c>
      <c r="R14" s="26"/>
      <c r="S14" s="77">
        <v>37.200000000000003</v>
      </c>
      <c r="T14" s="77">
        <v>33.299999999999997</v>
      </c>
      <c r="U14" s="26">
        <f t="shared" si="2"/>
        <v>-10.48387096774195</v>
      </c>
      <c r="V14" s="26"/>
      <c r="X14" s="63">
        <v>195.27862199999998</v>
      </c>
      <c r="Y14" s="63">
        <v>75.328798185941039</v>
      </c>
      <c r="Z14" s="63">
        <v>195.57453299999997</v>
      </c>
      <c r="AA14" s="63">
        <v>73.78684807256235</v>
      </c>
      <c r="AB14" s="31">
        <f t="shared" si="4"/>
        <v>0.15153271616182831</v>
      </c>
      <c r="AC14" s="26"/>
      <c r="AD14" s="15">
        <f t="shared" si="5"/>
        <v>2.592350159602649</v>
      </c>
      <c r="AE14" s="15">
        <f t="shared" si="6"/>
        <v>2.6505337754456053</v>
      </c>
      <c r="AG14" s="2">
        <f t="shared" si="7"/>
        <v>2.2444350593391507</v>
      </c>
    </row>
    <row r="15" spans="1:33" s="27" customFormat="1" x14ac:dyDescent="0.25">
      <c r="A15" s="26" t="s">
        <v>122</v>
      </c>
      <c r="B15" s="26">
        <v>2</v>
      </c>
      <c r="C15" s="63"/>
      <c r="D15" s="78" t="s">
        <v>167</v>
      </c>
      <c r="E15" s="40"/>
      <c r="F15" s="32"/>
      <c r="G15" s="32"/>
      <c r="H15" s="32"/>
      <c r="I15" s="32"/>
      <c r="J15" s="26"/>
      <c r="K15" s="29">
        <v>16</v>
      </c>
      <c r="L15" s="29">
        <v>16</v>
      </c>
      <c r="M15" s="32">
        <f t="shared" si="3"/>
        <v>0</v>
      </c>
      <c r="N15" s="32"/>
      <c r="O15" s="32">
        <v>41.73</v>
      </c>
      <c r="P15" s="32">
        <v>32.130000000000003</v>
      </c>
      <c r="Q15" s="32">
        <f t="shared" si="1"/>
        <v>-23.005032350826731</v>
      </c>
      <c r="R15" s="26"/>
      <c r="S15" s="77">
        <v>43.6</v>
      </c>
      <c r="T15" s="77">
        <v>32.6</v>
      </c>
      <c r="U15" s="26">
        <f t="shared" si="2"/>
        <v>-25.229357798165136</v>
      </c>
      <c r="V15" s="26"/>
      <c r="X15" s="63">
        <v>227.25641399999998</v>
      </c>
      <c r="Y15" s="63">
        <v>106.43990929705214</v>
      </c>
      <c r="Z15" s="63">
        <v>240.57887700000001</v>
      </c>
      <c r="AA15" s="63">
        <v>102.76643990929705</v>
      </c>
      <c r="AB15" s="31">
        <f t="shared" si="4"/>
        <v>5.8623045068378259</v>
      </c>
      <c r="AC15" s="26"/>
      <c r="AD15" s="15">
        <f t="shared" si="5"/>
        <v>2.135067715679591</v>
      </c>
      <c r="AE15" s="15">
        <f t="shared" si="6"/>
        <v>2.3410257007281556</v>
      </c>
      <c r="AG15" s="2">
        <f t="shared" si="7"/>
        <v>9.6464380748227629</v>
      </c>
    </row>
    <row r="16" spans="1:33" x14ac:dyDescent="0.25">
      <c r="A16" s="75" t="s">
        <v>123</v>
      </c>
      <c r="B16" s="67">
        <v>2</v>
      </c>
      <c r="C16" s="58" t="s">
        <v>148</v>
      </c>
      <c r="D16" s="69" t="s">
        <v>151</v>
      </c>
      <c r="E16" s="59"/>
      <c r="F16" s="235" t="s">
        <v>481</v>
      </c>
      <c r="G16" s="6"/>
      <c r="H16" s="6"/>
      <c r="I16" s="6"/>
      <c r="J16" s="17"/>
      <c r="K16" s="58" t="s">
        <v>148</v>
      </c>
      <c r="L16" s="69" t="s">
        <v>151</v>
      </c>
      <c r="M16" s="59"/>
      <c r="N16" s="17"/>
      <c r="O16" s="58" t="s">
        <v>148</v>
      </c>
      <c r="P16" s="69" t="s">
        <v>151</v>
      </c>
      <c r="Q16" s="59"/>
      <c r="S16" s="58" t="s">
        <v>148</v>
      </c>
      <c r="T16" s="69" t="s">
        <v>151</v>
      </c>
      <c r="U16" s="59"/>
      <c r="X16" s="58" t="s">
        <v>148</v>
      </c>
      <c r="Y16" s="58" t="s">
        <v>151</v>
      </c>
      <c r="Z16" s="69" t="s">
        <v>151</v>
      </c>
      <c r="AA16" s="69" t="s">
        <v>151</v>
      </c>
      <c r="AB16" s="59"/>
      <c r="AD16" s="69" t="s">
        <v>151</v>
      </c>
      <c r="AE16" s="69" t="s">
        <v>151</v>
      </c>
      <c r="AG16" s="69" t="s">
        <v>151</v>
      </c>
    </row>
    <row r="17" spans="1:33" x14ac:dyDescent="0.25">
      <c r="A17" s="20" t="s">
        <v>17</v>
      </c>
      <c r="B17" s="32"/>
      <c r="C17" s="17">
        <f>AVERAGE(C2:C16)</f>
        <v>16</v>
      </c>
      <c r="D17" s="17">
        <f t="shared" ref="D17:AB17" si="8">AVERAGE(D2:D16)</f>
        <v>18.923076923076923</v>
      </c>
      <c r="E17" s="33">
        <f t="shared" si="8"/>
        <v>20.134730834120958</v>
      </c>
      <c r="F17" s="236" t="s">
        <v>482</v>
      </c>
      <c r="G17" s="250"/>
      <c r="H17" s="250"/>
      <c r="I17" s="250"/>
      <c r="J17" s="17"/>
      <c r="K17" s="17">
        <f>AVERAGE(K1:K16)</f>
        <v>13.538461538461538</v>
      </c>
      <c r="L17" s="17">
        <f>AVERAGE(L1:L16)</f>
        <v>14.76923076923077</v>
      </c>
      <c r="M17" s="33">
        <f>AVERAGE(M2:M16)</f>
        <v>11.085751854982625</v>
      </c>
      <c r="N17" s="17"/>
      <c r="O17" s="17">
        <f t="shared" si="8"/>
        <v>41.930714285714281</v>
      </c>
      <c r="P17" s="17">
        <f t="shared" si="8"/>
        <v>41.423571428571428</v>
      </c>
      <c r="Q17" s="33">
        <f t="shared" si="8"/>
        <v>-0.42947979919937296</v>
      </c>
      <c r="R17" s="17"/>
      <c r="S17" s="17">
        <f t="shared" si="8"/>
        <v>45.050000000000011</v>
      </c>
      <c r="T17" s="17">
        <f t="shared" si="8"/>
        <v>44.478571428571421</v>
      </c>
      <c r="U17" s="33">
        <f t="shared" si="8"/>
        <v>-1.1877214377714882</v>
      </c>
      <c r="V17" s="17"/>
      <c r="W17" s="17"/>
      <c r="X17" s="17">
        <f t="shared" si="8"/>
        <v>206.24524038461533</v>
      </c>
      <c r="Y17" s="17"/>
      <c r="Z17" s="17">
        <f t="shared" si="8"/>
        <v>218.46043153846151</v>
      </c>
      <c r="AA17" s="17"/>
      <c r="AB17" s="33">
        <f t="shared" si="8"/>
        <v>6.7215689016142139</v>
      </c>
      <c r="AD17" s="15">
        <f>AVERAGE(AD2:AD16)</f>
        <v>2.5458263739856792</v>
      </c>
      <c r="AE17" s="15">
        <f>AVERAGE(AE2:AE16)</f>
        <v>2.7313898509219077</v>
      </c>
      <c r="AG17" s="50">
        <f>AVERAGE(AG2:AG16)</f>
        <v>7.8359992850194873</v>
      </c>
    </row>
    <row r="18" spans="1:33" x14ac:dyDescent="0.25">
      <c r="A18" s="38" t="s">
        <v>153</v>
      </c>
      <c r="B18" s="32"/>
      <c r="C18" s="32">
        <f>STDEV(C2:C16)</f>
        <v>3.7193189340702331</v>
      </c>
      <c r="D18" s="32">
        <f t="shared" ref="D18:AE18" si="9">STDEV(D2:D16)</f>
        <v>4.1924841176709418</v>
      </c>
      <c r="E18" s="32">
        <f t="shared" si="9"/>
        <v>21.134132933956934</v>
      </c>
      <c r="F18" s="237" t="s">
        <v>483</v>
      </c>
      <c r="G18" s="63"/>
      <c r="H18" s="63"/>
      <c r="I18" s="63"/>
      <c r="J18" s="32"/>
      <c r="K18" s="32">
        <f>STDEV(K1:K16)</f>
        <v>2.6961511028187486</v>
      </c>
      <c r="L18" s="32">
        <f>STDEV(L1:L16)</f>
        <v>1.9215378456610472</v>
      </c>
      <c r="M18" s="32">
        <f>STDEV(M2:M16)</f>
        <v>14.608926019390358</v>
      </c>
      <c r="N18" s="32"/>
      <c r="O18" s="32">
        <f t="shared" si="9"/>
        <v>6.9495234022863448</v>
      </c>
      <c r="P18" s="32">
        <f t="shared" si="9"/>
        <v>9.2214197383175662</v>
      </c>
      <c r="Q18" s="32">
        <f t="shared" si="9"/>
        <v>19.75778092508477</v>
      </c>
      <c r="R18" s="32"/>
      <c r="S18" s="32">
        <f t="shared" si="9"/>
        <v>7.9318006491880784</v>
      </c>
      <c r="T18" s="32">
        <f t="shared" si="9"/>
        <v>10.451880844461106</v>
      </c>
      <c r="U18" s="32">
        <f t="shared" si="9"/>
        <v>15.755540337464206</v>
      </c>
      <c r="V18" s="32"/>
      <c r="W18" s="32"/>
      <c r="X18" s="32">
        <f t="shared" si="9"/>
        <v>59.357297662179789</v>
      </c>
      <c r="Y18" s="32"/>
      <c r="Z18" s="32">
        <f t="shared" si="9"/>
        <v>57.341858024271055</v>
      </c>
      <c r="AA18" s="32"/>
      <c r="AB18" s="32">
        <f t="shared" si="9"/>
        <v>8.7034423718771148</v>
      </c>
      <c r="AC18" s="32"/>
      <c r="AD18" s="32">
        <f t="shared" si="9"/>
        <v>0.51107860940449301</v>
      </c>
      <c r="AE18" s="32">
        <f t="shared" si="9"/>
        <v>0.4843388813710075</v>
      </c>
      <c r="AG18" s="2">
        <f>STDEV(AG2:AG16)</f>
        <v>8.5650033439790256</v>
      </c>
    </row>
    <row r="19" spans="1:33" x14ac:dyDescent="0.25">
      <c r="B19" s="26"/>
      <c r="C19" s="33"/>
      <c r="D19" s="33"/>
      <c r="E19" s="42"/>
      <c r="F19" s="238" t="s">
        <v>474</v>
      </c>
      <c r="G19" s="6"/>
      <c r="H19" s="6"/>
      <c r="I19" s="6"/>
      <c r="J19" s="17"/>
      <c r="K19" s="33"/>
      <c r="L19" s="33"/>
      <c r="M19" s="33"/>
      <c r="N19" s="17"/>
      <c r="O19" s="33"/>
      <c r="P19" s="33"/>
      <c r="Q19" s="33"/>
      <c r="S19" s="35"/>
      <c r="T19" s="35"/>
      <c r="U19" s="35"/>
      <c r="W19" s="15"/>
      <c r="X19" s="33"/>
      <c r="Y19" s="33"/>
      <c r="Z19" s="33"/>
      <c r="AA19" s="33"/>
      <c r="AB19" s="33"/>
    </row>
    <row r="20" spans="1:33" x14ac:dyDescent="0.25">
      <c r="B20" s="26"/>
      <c r="C20" s="33"/>
      <c r="D20" s="33" t="s">
        <v>188</v>
      </c>
      <c r="E20" s="42"/>
      <c r="F20" s="17"/>
      <c r="G20" s="17"/>
      <c r="H20" s="17"/>
      <c r="I20" s="17"/>
      <c r="J20" s="17"/>
      <c r="K20" s="33"/>
      <c r="L20" s="33" t="s">
        <v>188</v>
      </c>
      <c r="M20" s="33"/>
      <c r="N20" s="17"/>
      <c r="O20" s="33"/>
      <c r="P20" s="33" t="s">
        <v>185</v>
      </c>
      <c r="Q20" s="33"/>
      <c r="S20" s="35"/>
      <c r="T20" s="35" t="s">
        <v>185</v>
      </c>
      <c r="U20" s="35"/>
      <c r="W20" s="15"/>
      <c r="X20" s="33"/>
      <c r="Y20" s="33"/>
      <c r="Z20" s="33" t="s">
        <v>188</v>
      </c>
      <c r="AA20" s="33"/>
      <c r="AB20" s="33"/>
      <c r="AD20" s="33" t="s">
        <v>188</v>
      </c>
    </row>
    <row r="21" spans="1:33" x14ac:dyDescent="0.25">
      <c r="C21" s="33"/>
      <c r="D21" s="33" t="s">
        <v>189</v>
      </c>
      <c r="E21" s="42"/>
      <c r="F21" s="17"/>
      <c r="G21" s="17"/>
      <c r="H21" s="17"/>
      <c r="I21" s="17"/>
      <c r="J21" s="17"/>
      <c r="K21" s="33"/>
      <c r="L21" s="33" t="s">
        <v>190</v>
      </c>
      <c r="M21" s="33"/>
      <c r="N21" s="17"/>
      <c r="O21" s="33"/>
      <c r="P21" s="33" t="s">
        <v>191</v>
      </c>
      <c r="Q21" s="33"/>
      <c r="S21" s="35"/>
      <c r="T21" s="35" t="s">
        <v>192</v>
      </c>
      <c r="U21" s="35"/>
      <c r="W21" s="15"/>
      <c r="X21" s="33"/>
      <c r="Y21" s="33"/>
      <c r="Z21" s="33" t="s">
        <v>193</v>
      </c>
      <c r="AA21" s="33"/>
      <c r="AB21" s="33"/>
      <c r="AD21" s="35" t="s">
        <v>203</v>
      </c>
    </row>
    <row r="22" spans="1:33" x14ac:dyDescent="0.25">
      <c r="A22" s="17" t="s">
        <v>281</v>
      </c>
      <c r="C22" s="17">
        <v>-2.9230770000000001</v>
      </c>
      <c r="D22" s="17">
        <v>3.148056</v>
      </c>
      <c r="E22" s="17"/>
      <c r="F22" s="17"/>
      <c r="G22" s="17"/>
      <c r="H22" s="17"/>
      <c r="I22" s="17"/>
      <c r="K22" s="15">
        <v>-1.230769</v>
      </c>
      <c r="L22" s="17">
        <v>1.535895</v>
      </c>
      <c r="M22" s="17"/>
      <c r="N22" s="17"/>
      <c r="O22" s="17">
        <v>0.50714300000000001</v>
      </c>
      <c r="P22" s="17">
        <v>7.5465869999999997</v>
      </c>
      <c r="Q22" s="17"/>
      <c r="S22" s="15">
        <v>0.57142899999999996</v>
      </c>
      <c r="T22" s="15">
        <v>6.9087940000000003</v>
      </c>
      <c r="X22" s="4">
        <v>-12.215191000000001</v>
      </c>
      <c r="Y22" s="4"/>
      <c r="Z22" s="4">
        <v>16.672574000000001</v>
      </c>
      <c r="AA22" s="4"/>
      <c r="AB22" s="4"/>
      <c r="AD22" s="15">
        <v>-0.18556</v>
      </c>
      <c r="AE22" s="15">
        <v>0.19713</v>
      </c>
    </row>
    <row r="23" spans="1:33" x14ac:dyDescent="0.25">
      <c r="A23" s="17"/>
      <c r="C23" s="33" t="s">
        <v>282</v>
      </c>
      <c r="D23" s="48">
        <f>C22/D22</f>
        <v>-0.92853399050080432</v>
      </c>
      <c r="E23" s="17"/>
      <c r="F23" s="17"/>
      <c r="G23" s="17"/>
      <c r="H23" s="17"/>
      <c r="I23" s="17"/>
      <c r="K23" s="33" t="s">
        <v>282</v>
      </c>
      <c r="L23" s="48">
        <f>K22/L22</f>
        <v>-0.80133667991627033</v>
      </c>
      <c r="M23" s="17"/>
      <c r="N23" s="17"/>
      <c r="O23" s="33" t="s">
        <v>282</v>
      </c>
      <c r="P23" s="48">
        <f>O22/P22</f>
        <v>6.7201636978411569E-2</v>
      </c>
      <c r="Q23" s="17"/>
      <c r="S23" s="33" t="s">
        <v>282</v>
      </c>
      <c r="T23" s="48">
        <f>S22/T22</f>
        <v>8.2710383317262021E-2</v>
      </c>
      <c r="X23" s="33" t="s">
        <v>282</v>
      </c>
      <c r="Y23" s="33"/>
      <c r="Z23" s="48">
        <f>X22/Z22</f>
        <v>-0.73265177890348543</v>
      </c>
      <c r="AA23" s="48"/>
      <c r="AB23" s="4"/>
      <c r="AC23" s="35" t="s">
        <v>282</v>
      </c>
      <c r="AD23" s="35">
        <f>AD22/AE22</f>
        <v>-0.94130776644853653</v>
      </c>
    </row>
    <row r="24" spans="1:33" x14ac:dyDescent="0.25">
      <c r="A24" s="189"/>
      <c r="C24" s="189" t="s">
        <v>447</v>
      </c>
      <c r="D24" s="189"/>
      <c r="E24" s="189">
        <f>(D17-C17)/C17*100</f>
        <v>18.26923076923077</v>
      </c>
      <c r="F24" s="17"/>
      <c r="G24" s="17"/>
      <c r="H24" s="17"/>
      <c r="I24" s="17"/>
      <c r="J24" s="189"/>
      <c r="K24" s="189" t="s">
        <v>447</v>
      </c>
      <c r="L24" s="189"/>
      <c r="M24" s="189">
        <f>(L17-K17)/K17*100</f>
        <v>9.0909090909090988</v>
      </c>
      <c r="N24" s="17"/>
      <c r="O24" s="17"/>
      <c r="P24" s="17"/>
      <c r="Q24" s="189"/>
      <c r="R24" s="189" t="s">
        <v>447</v>
      </c>
      <c r="S24" s="189"/>
      <c r="T24" s="189">
        <f>(T17-S17)/S17*100</f>
        <v>-1.2684319010623542</v>
      </c>
      <c r="X24" s="4"/>
      <c r="Y24" s="4"/>
      <c r="Z24" s="4"/>
      <c r="AA24" s="4"/>
      <c r="AB24" s="4"/>
    </row>
    <row r="25" spans="1:33" x14ac:dyDescent="0.25">
      <c r="Y25" s="190" t="s">
        <v>446</v>
      </c>
      <c r="Z25" s="190">
        <f>(Z17-X17)/X17*100</f>
        <v>5.9226535996984682</v>
      </c>
      <c r="AD25" s="190" t="s">
        <v>446</v>
      </c>
      <c r="AE25" s="189"/>
      <c r="AF25" s="190">
        <f>(AE17-AD17)/AD17*100</f>
        <v>7.2889290028728517</v>
      </c>
    </row>
    <row r="30" spans="1:33" x14ac:dyDescent="0.25">
      <c r="C30" s="6"/>
      <c r="D30" s="6"/>
      <c r="E30" s="6"/>
      <c r="F30" s="17"/>
      <c r="G30" s="17"/>
      <c r="H30" s="17"/>
      <c r="I30" s="17"/>
      <c r="J30" s="17"/>
      <c r="K30" s="6"/>
      <c r="L30" s="6"/>
      <c r="M30" s="6"/>
      <c r="N30" s="17"/>
      <c r="O30" s="6"/>
      <c r="P30" s="17"/>
      <c r="Q30" s="17"/>
      <c r="R30" s="17"/>
      <c r="S30" s="17"/>
      <c r="T30" s="17"/>
      <c r="U30" s="17"/>
      <c r="V30" s="17"/>
    </row>
    <row r="31" spans="1:33" x14ac:dyDescent="0.25">
      <c r="C31" s="6"/>
      <c r="D31" s="6"/>
      <c r="E31" s="6"/>
      <c r="F31" s="17"/>
      <c r="G31" s="17"/>
      <c r="H31" s="17"/>
      <c r="I31" s="17"/>
      <c r="J31" s="17"/>
      <c r="K31" s="6"/>
      <c r="L31" s="6"/>
      <c r="M31" s="6"/>
      <c r="N31" s="17"/>
      <c r="O31" s="6"/>
      <c r="P31" s="17"/>
      <c r="Q31" s="17"/>
      <c r="R31" s="17"/>
      <c r="S31" s="17"/>
      <c r="T31" s="17"/>
      <c r="U31" s="17"/>
      <c r="V31" s="17"/>
    </row>
  </sheetData>
  <mergeCells count="2">
    <mergeCell ref="G1:H1"/>
    <mergeCell ref="I1:J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/>
  <dimension ref="A1:Q41"/>
  <sheetViews>
    <sheetView workbookViewId="0">
      <selection activeCell="G1" sqref="G1:J1"/>
    </sheetView>
  </sheetViews>
  <sheetFormatPr defaultColWidth="9.140625" defaultRowHeight="15" x14ac:dyDescent="0.25"/>
  <cols>
    <col min="1" max="1" width="9.140625" style="15"/>
    <col min="2" max="2" width="19.85546875" style="248" customWidth="1"/>
    <col min="3" max="3" width="12.140625" style="15" customWidth="1"/>
    <col min="4" max="4" width="9.140625" style="15" customWidth="1"/>
    <col min="5" max="5" width="11.85546875" style="15" customWidth="1"/>
    <col min="6" max="6" width="15" style="15" bestFit="1" customWidth="1"/>
    <col min="7" max="10" width="15" style="248" customWidth="1"/>
    <col min="11" max="11" width="15.28515625" style="15" customWidth="1"/>
    <col min="12" max="12" width="9.7109375" style="15" customWidth="1"/>
    <col min="13" max="13" width="10.28515625" style="15" bestFit="1" customWidth="1"/>
    <col min="14" max="15" width="14.28515625" style="15" customWidth="1"/>
    <col min="16" max="16" width="12.5703125" style="15" customWidth="1"/>
    <col min="17" max="17" width="9.140625" style="15"/>
    <col min="18" max="16384" width="9.140625" style="2"/>
  </cols>
  <sheetData>
    <row r="1" spans="1:17" s="66" customFormat="1" x14ac:dyDescent="0.25">
      <c r="A1" s="64"/>
      <c r="B1" s="248" t="s">
        <v>2</v>
      </c>
      <c r="C1" s="65" t="s">
        <v>118</v>
      </c>
      <c r="D1" s="65" t="s">
        <v>125</v>
      </c>
      <c r="E1" s="65" t="s">
        <v>23</v>
      </c>
      <c r="F1" s="251"/>
      <c r="G1" s="284" t="s">
        <v>495</v>
      </c>
      <c r="H1" s="284"/>
      <c r="I1" s="284" t="s">
        <v>496</v>
      </c>
      <c r="J1" s="285"/>
      <c r="K1" s="101" t="s">
        <v>119</v>
      </c>
      <c r="L1" s="101" t="s">
        <v>124</v>
      </c>
      <c r="M1" s="64" t="s">
        <v>23</v>
      </c>
      <c r="N1" s="64"/>
      <c r="O1" s="65" t="s">
        <v>35</v>
      </c>
      <c r="P1" s="65" t="s">
        <v>36</v>
      </c>
      <c r="Q1" s="65" t="s">
        <v>23</v>
      </c>
    </row>
    <row r="2" spans="1:17" x14ac:dyDescent="0.25">
      <c r="A2" s="64" t="s">
        <v>11</v>
      </c>
      <c r="B2" s="248">
        <v>1</v>
      </c>
      <c r="C2" s="6">
        <v>4.9499999999999993</v>
      </c>
      <c r="D2" s="6">
        <v>4.8899999999999997</v>
      </c>
      <c r="E2" s="47">
        <f>(D2-C2)/C2*100</f>
        <v>-1.2121212121212044</v>
      </c>
      <c r="F2" s="221"/>
      <c r="G2" s="252" t="s">
        <v>118</v>
      </c>
      <c r="H2" s="252" t="s">
        <v>125</v>
      </c>
      <c r="I2" s="252" t="s">
        <v>118</v>
      </c>
      <c r="J2" s="253" t="s">
        <v>125</v>
      </c>
      <c r="K2" s="6">
        <v>4.72</v>
      </c>
      <c r="L2" s="6">
        <v>4.7699999999999996</v>
      </c>
      <c r="M2" s="16">
        <f t="shared" ref="M2:M15" si="0">(L2-K2)/K2*100</f>
        <v>1.0593220338983014</v>
      </c>
      <c r="O2" s="17">
        <v>98.75</v>
      </c>
      <c r="P2" s="17">
        <v>95</v>
      </c>
      <c r="Q2" s="47">
        <f t="shared" ref="Q2:Q15" si="1">(P2-O2)/O2*100</f>
        <v>-3.79746835443038</v>
      </c>
    </row>
    <row r="3" spans="1:17" x14ac:dyDescent="0.25">
      <c r="A3" s="64" t="s">
        <v>10</v>
      </c>
      <c r="B3" s="248">
        <v>2</v>
      </c>
      <c r="C3" s="6">
        <v>5.4700000000000006</v>
      </c>
      <c r="D3" s="6">
        <v>4.41</v>
      </c>
      <c r="E3" s="47">
        <f t="shared" ref="E3:E15" si="2">(D3-C3)/C3*100</f>
        <v>-19.378427787934193</v>
      </c>
      <c r="F3" s="221"/>
      <c r="G3" s="6">
        <v>4.9499999999999993</v>
      </c>
      <c r="H3" s="6">
        <v>4.8899999999999997</v>
      </c>
      <c r="I3" s="6">
        <v>5.4700000000000006</v>
      </c>
      <c r="J3" s="254">
        <v>4.41</v>
      </c>
      <c r="K3" s="6">
        <v>5.32</v>
      </c>
      <c r="L3" s="6">
        <v>4.25</v>
      </c>
      <c r="M3" s="16">
        <f t="shared" si="0"/>
        <v>-20.112781954887222</v>
      </c>
      <c r="O3" s="17">
        <v>95.63</v>
      </c>
      <c r="P3" s="17">
        <v>97.19</v>
      </c>
      <c r="Q3" s="47">
        <f t="shared" si="1"/>
        <v>1.6312872529540963</v>
      </c>
    </row>
    <row r="4" spans="1:17" x14ac:dyDescent="0.25">
      <c r="A4" s="64" t="s">
        <v>12</v>
      </c>
      <c r="B4" s="248">
        <v>1</v>
      </c>
      <c r="C4" s="6">
        <v>5.7650000000000006</v>
      </c>
      <c r="D4" s="6">
        <v>4.75</v>
      </c>
      <c r="E4" s="47">
        <f t="shared" si="2"/>
        <v>-17.606244579358204</v>
      </c>
      <c r="F4" s="221"/>
      <c r="G4" s="6">
        <v>5.7650000000000006</v>
      </c>
      <c r="H4" s="6">
        <v>4.75</v>
      </c>
      <c r="I4" s="63">
        <v>4.4049999999999994</v>
      </c>
      <c r="J4" s="255">
        <v>4.1500000000000004</v>
      </c>
      <c r="K4" s="6">
        <v>5.65</v>
      </c>
      <c r="L4" s="6">
        <v>4.6900000000000004</v>
      </c>
      <c r="M4" s="16">
        <f t="shared" si="0"/>
        <v>-16.991150442477874</v>
      </c>
      <c r="O4" s="17">
        <v>98.69</v>
      </c>
      <c r="P4" s="17">
        <v>97.5</v>
      </c>
      <c r="Q4" s="47">
        <f t="shared" si="1"/>
        <v>-1.2057959266389684</v>
      </c>
    </row>
    <row r="5" spans="1:17" s="27" customFormat="1" x14ac:dyDescent="0.25">
      <c r="A5" s="26" t="s">
        <v>13</v>
      </c>
      <c r="B5" s="26">
        <v>1</v>
      </c>
      <c r="C5" s="29">
        <v>5.58</v>
      </c>
      <c r="D5" s="29">
        <v>4.7</v>
      </c>
      <c r="E5" s="46">
        <f t="shared" si="2"/>
        <v>-15.770609318996415</v>
      </c>
      <c r="F5" s="256"/>
      <c r="G5" s="63">
        <v>5.58</v>
      </c>
      <c r="H5" s="63">
        <v>4.7</v>
      </c>
      <c r="I5" s="63">
        <v>5.42</v>
      </c>
      <c r="J5" s="255">
        <v>4.68</v>
      </c>
      <c r="K5" s="29">
        <v>5.35</v>
      </c>
      <c r="L5" s="29">
        <v>4.42</v>
      </c>
      <c r="M5" s="28">
        <f t="shared" si="0"/>
        <v>-17.383177570093451</v>
      </c>
      <c r="N5" s="26"/>
      <c r="O5" s="32">
        <v>86.88</v>
      </c>
      <c r="P5" s="32">
        <v>88.13</v>
      </c>
      <c r="Q5" s="46">
        <f t="shared" si="1"/>
        <v>1.4387661141804791</v>
      </c>
    </row>
    <row r="6" spans="1:17" s="27" customFormat="1" x14ac:dyDescent="0.25">
      <c r="A6" s="26" t="s">
        <v>14</v>
      </c>
      <c r="B6" s="26">
        <v>2</v>
      </c>
      <c r="C6" s="29">
        <v>4.4049999999999994</v>
      </c>
      <c r="D6" s="29">
        <v>4.1500000000000004</v>
      </c>
      <c r="E6" s="46">
        <f t="shared" si="2"/>
        <v>-5.7888762769579802</v>
      </c>
      <c r="F6" s="256"/>
      <c r="G6" s="63">
        <v>5.9550000000000001</v>
      </c>
      <c r="H6" s="63">
        <v>5.4749999999999996</v>
      </c>
      <c r="I6" s="63">
        <f>AVERAGE(6.12, 5.95)</f>
        <v>6.0350000000000001</v>
      </c>
      <c r="J6" s="255">
        <f>AVERAGE(4.76,4.87)</f>
        <v>4.8149999999999995</v>
      </c>
      <c r="K6" s="29">
        <v>4.3</v>
      </c>
      <c r="L6" s="29">
        <v>4.12</v>
      </c>
      <c r="M6" s="28">
        <f t="shared" si="0"/>
        <v>-4.1860465116279011</v>
      </c>
      <c r="N6" s="26"/>
      <c r="O6" s="32">
        <v>98.75</v>
      </c>
      <c r="P6" s="32">
        <v>97.5</v>
      </c>
      <c r="Q6" s="46">
        <f t="shared" si="1"/>
        <v>-1.2658227848101267</v>
      </c>
    </row>
    <row r="7" spans="1:17" s="27" customFormat="1" x14ac:dyDescent="0.25">
      <c r="A7" s="26" t="s">
        <v>15</v>
      </c>
      <c r="B7" s="26">
        <v>1</v>
      </c>
      <c r="C7" s="29">
        <v>5.9550000000000001</v>
      </c>
      <c r="D7" s="29">
        <v>5.4749999999999996</v>
      </c>
      <c r="E7" s="46">
        <f t="shared" si="2"/>
        <v>-8.0604534005037856</v>
      </c>
      <c r="F7" s="256"/>
      <c r="G7" s="63">
        <f>AVERAGE(4.78, 4.87)</f>
        <v>4.8250000000000002</v>
      </c>
      <c r="H7" s="63">
        <f>AVERAGE(4.41, 4.53)</f>
        <v>4.4700000000000006</v>
      </c>
      <c r="I7" s="63">
        <f>AVERAGE(6.18, 5.83)</f>
        <v>6.0049999999999999</v>
      </c>
      <c r="J7" s="255">
        <f>AVERAGE(5.38,5.48)</f>
        <v>5.43</v>
      </c>
      <c r="K7" s="29">
        <v>5.94</v>
      </c>
      <c r="L7" s="29">
        <v>5.34</v>
      </c>
      <c r="M7" s="28">
        <f t="shared" si="0"/>
        <v>-10.101010101010109</v>
      </c>
      <c r="N7" s="26"/>
      <c r="O7" s="32">
        <v>84.38</v>
      </c>
      <c r="P7" s="32">
        <v>96.88</v>
      </c>
      <c r="Q7" s="46">
        <f t="shared" si="1"/>
        <v>14.813936951884333</v>
      </c>
    </row>
    <row r="8" spans="1:17" s="27" customFormat="1" x14ac:dyDescent="0.25">
      <c r="A8" s="26" t="s">
        <v>16</v>
      </c>
      <c r="B8" s="26">
        <v>2</v>
      </c>
      <c r="C8" s="29">
        <v>5.42</v>
      </c>
      <c r="D8" s="29">
        <v>4.68</v>
      </c>
      <c r="E8" s="46">
        <f t="shared" si="2"/>
        <v>-13.653136531365318</v>
      </c>
      <c r="F8" s="256"/>
      <c r="G8" s="63">
        <f>AVERAGE(4.58, 4.8)</f>
        <v>4.6899999999999995</v>
      </c>
      <c r="H8" s="63">
        <f>AVERAGE(4.63,4.65)</f>
        <v>4.6400000000000006</v>
      </c>
      <c r="I8" s="63">
        <f>AVERAGE(4.55, 4.44)</f>
        <v>4.4950000000000001</v>
      </c>
      <c r="J8" s="255">
        <v>3.71</v>
      </c>
      <c r="K8" s="29">
        <v>5.41</v>
      </c>
      <c r="L8" s="29">
        <v>4.6399999999999997</v>
      </c>
      <c r="M8" s="28">
        <f t="shared" si="0"/>
        <v>-14.232902033271728</v>
      </c>
      <c r="N8" s="26"/>
      <c r="O8" s="32">
        <v>98.13</v>
      </c>
      <c r="P8" s="32">
        <v>98.75</v>
      </c>
      <c r="Q8" s="46">
        <f t="shared" si="1"/>
        <v>0.63181493936615163</v>
      </c>
    </row>
    <row r="9" spans="1:17" s="27" customFormat="1" x14ac:dyDescent="0.25">
      <c r="A9" s="26" t="s">
        <v>112</v>
      </c>
      <c r="B9" s="26">
        <v>1</v>
      </c>
      <c r="C9" s="32">
        <f>AVERAGE(4.78, 4.87)</f>
        <v>4.8250000000000002</v>
      </c>
      <c r="D9" s="32">
        <f>AVERAGE(4.41, 4.53)</f>
        <v>4.4700000000000006</v>
      </c>
      <c r="E9" s="46">
        <f t="shared" si="2"/>
        <v>-7.3575129533678663</v>
      </c>
      <c r="F9" s="256"/>
      <c r="G9" s="63">
        <f>AVERAGE(4.94, 5.367)</f>
        <v>5.1535000000000002</v>
      </c>
      <c r="H9" s="63">
        <v>4.625</v>
      </c>
      <c r="I9" s="63">
        <f>AVERAGE(6.53, 6.44)</f>
        <v>6.4850000000000003</v>
      </c>
      <c r="J9" s="255">
        <v>6.67</v>
      </c>
      <c r="K9" s="29">
        <v>4.78</v>
      </c>
      <c r="L9" s="26">
        <v>4.41</v>
      </c>
      <c r="M9" s="28">
        <f t="shared" si="0"/>
        <v>-7.7405857740585793</v>
      </c>
      <c r="N9" s="26"/>
      <c r="O9" s="32">
        <v>98.13</v>
      </c>
      <c r="P9" s="32">
        <f>AVERAGE(100, 100, 100, 100, 100, 100, 100, 100, 100, 100, 90, 100, 100, 100, 100, 90)</f>
        <v>98.75</v>
      </c>
      <c r="Q9" s="46">
        <f t="shared" si="1"/>
        <v>0.63181493936615163</v>
      </c>
    </row>
    <row r="10" spans="1:17" s="27" customFormat="1" x14ac:dyDescent="0.25">
      <c r="A10" s="26" t="s">
        <v>113</v>
      </c>
      <c r="B10" s="26">
        <v>1</v>
      </c>
      <c r="C10" s="32">
        <f>AVERAGE(4.58, 4.8)</f>
        <v>4.6899999999999995</v>
      </c>
      <c r="D10" s="32">
        <f>AVERAGE(4.63,4.65)</f>
        <v>4.6400000000000006</v>
      </c>
      <c r="E10" s="46">
        <f t="shared" si="2"/>
        <v>-1.0660980810234315</v>
      </c>
      <c r="F10" s="256"/>
      <c r="G10" s="77"/>
      <c r="H10" s="77"/>
      <c r="I10" s="77"/>
      <c r="J10" s="257"/>
      <c r="K10" s="29">
        <v>4.58</v>
      </c>
      <c r="L10" s="26">
        <v>4.63</v>
      </c>
      <c r="M10" s="28">
        <f t="shared" si="0"/>
        <v>1.0917030567685551</v>
      </c>
      <c r="N10" s="26"/>
      <c r="O10" s="32">
        <v>90.94</v>
      </c>
      <c r="P10" s="32">
        <f>AVERAGE(100,98,100,100,95,89,100,100,100,100,100,100,85,85,60,60)</f>
        <v>92</v>
      </c>
      <c r="Q10" s="46">
        <f t="shared" si="1"/>
        <v>1.1656036947437898</v>
      </c>
    </row>
    <row r="11" spans="1:17" s="27" customFormat="1" x14ac:dyDescent="0.25">
      <c r="A11" s="26" t="s">
        <v>114</v>
      </c>
      <c r="B11" s="26">
        <v>2</v>
      </c>
      <c r="C11" s="32">
        <f>AVERAGE(6.12, 5.95)</f>
        <v>6.0350000000000001</v>
      </c>
      <c r="D11" s="32">
        <f>AVERAGE(4.76,4.87)</f>
        <v>4.8149999999999995</v>
      </c>
      <c r="E11" s="46">
        <f t="shared" si="2"/>
        <v>-20.215410107705065</v>
      </c>
      <c r="F11" s="256" t="s">
        <v>497</v>
      </c>
      <c r="G11" s="77">
        <f>AVERAGE(G3:G9)</f>
        <v>5.2740714285714292</v>
      </c>
      <c r="H11" s="77">
        <f>AVERAGE(H3:H9)</f>
        <v>4.7928571428571427</v>
      </c>
      <c r="I11" s="77">
        <f>AVERAGE(I3:I9)</f>
        <v>5.4735714285714279</v>
      </c>
      <c r="J11" s="257">
        <f>AVERAGE(J3:J9)</f>
        <v>4.8378571428571435</v>
      </c>
      <c r="K11" s="29">
        <v>5.95</v>
      </c>
      <c r="L11" s="26">
        <v>4.76</v>
      </c>
      <c r="M11" s="28">
        <f t="shared" si="0"/>
        <v>-20.000000000000007</v>
      </c>
      <c r="N11" s="26"/>
      <c r="O11" s="32">
        <v>87.5</v>
      </c>
      <c r="P11" s="32">
        <f>AVERAGE(100,98,100,100,100,90,100,100,100,100,100,95,90,99,90,50)</f>
        <v>94.5</v>
      </c>
      <c r="Q11" s="46">
        <f>(P11-O11)/O11*100</f>
        <v>8</v>
      </c>
    </row>
    <row r="12" spans="1:17" s="27" customFormat="1" x14ac:dyDescent="0.25">
      <c r="A12" s="26" t="s">
        <v>115</v>
      </c>
      <c r="B12" s="26">
        <v>2</v>
      </c>
      <c r="C12" s="32">
        <f>AVERAGE(6.18, 5.83)</f>
        <v>6.0049999999999999</v>
      </c>
      <c r="D12" s="32">
        <f>AVERAGE(5.38,5.48)</f>
        <v>5.43</v>
      </c>
      <c r="E12" s="46">
        <f t="shared" si="2"/>
        <v>-9.5753538717735243</v>
      </c>
      <c r="F12" s="258" t="s">
        <v>460</v>
      </c>
      <c r="G12" s="259">
        <f>STDEV(G3:G9)</f>
        <v>0.49339490848030237</v>
      </c>
      <c r="H12" s="259">
        <f>STDEV(H3:H9)</f>
        <v>0.32685186684053474</v>
      </c>
      <c r="I12" s="259">
        <f>STDEV(I3:I9)</f>
        <v>0.78771142286645179</v>
      </c>
      <c r="J12" s="260">
        <f>STDEV(J3:J9)</f>
        <v>0.97134724799654926</v>
      </c>
      <c r="K12" s="29">
        <v>5.83</v>
      </c>
      <c r="L12" s="26">
        <v>5.38</v>
      </c>
      <c r="M12" s="26">
        <f t="shared" si="0"/>
        <v>-7.7186963979416836</v>
      </c>
      <c r="N12" s="26"/>
      <c r="O12" s="32">
        <v>93.13</v>
      </c>
      <c r="P12" s="32">
        <f>AVERAGE(100,90,80,100,70,70,100,90,100,100,100,90,90,80,70,70)</f>
        <v>87.5</v>
      </c>
      <c r="Q12" s="46">
        <f t="shared" si="1"/>
        <v>-6.0453130033286753</v>
      </c>
    </row>
    <row r="13" spans="1:17" s="27" customFormat="1" x14ac:dyDescent="0.25">
      <c r="A13" s="26" t="s">
        <v>117</v>
      </c>
      <c r="B13" s="26">
        <v>2</v>
      </c>
      <c r="C13" s="32">
        <f>AVERAGE(4.55, 4.44)</f>
        <v>4.4950000000000001</v>
      </c>
      <c r="D13" s="32">
        <v>3.71</v>
      </c>
      <c r="E13" s="46">
        <f t="shared" si="2"/>
        <v>-17.463848720800893</v>
      </c>
      <c r="F13" s="26"/>
      <c r="G13" s="26"/>
      <c r="H13" s="26"/>
      <c r="I13" s="26"/>
      <c r="J13" s="26"/>
      <c r="K13" s="29">
        <v>4.4400000000000004</v>
      </c>
      <c r="L13" s="26">
        <v>3.69</v>
      </c>
      <c r="M13" s="26">
        <f t="shared" si="0"/>
        <v>-16.891891891891898</v>
      </c>
      <c r="N13" s="26"/>
      <c r="O13" s="32">
        <v>98.13</v>
      </c>
      <c r="P13" s="32">
        <f>AVERAGE(100,100,90,100,100,100,100,100,100,100,100,100,90,100,100,90)</f>
        <v>98.125</v>
      </c>
      <c r="Q13" s="46">
        <f t="shared" si="1"/>
        <v>-5.0952817690771961E-3</v>
      </c>
    </row>
    <row r="14" spans="1:17" s="27" customFormat="1" x14ac:dyDescent="0.25">
      <c r="A14" s="26" t="s">
        <v>121</v>
      </c>
      <c r="B14" s="26">
        <v>1</v>
      </c>
      <c r="C14" s="32">
        <f>AVERAGE(4.94, 5.367)</f>
        <v>5.1535000000000002</v>
      </c>
      <c r="D14" s="32">
        <v>4.625</v>
      </c>
      <c r="E14" s="46">
        <f t="shared" si="2"/>
        <v>-10.255166391772585</v>
      </c>
      <c r="F14" s="26"/>
      <c r="G14" s="26"/>
      <c r="H14" s="26"/>
      <c r="I14" s="26"/>
      <c r="J14" s="26"/>
      <c r="K14" s="29">
        <v>4.9400000000000004</v>
      </c>
      <c r="L14" s="26">
        <v>4.59</v>
      </c>
      <c r="M14" s="26">
        <f t="shared" si="0"/>
        <v>-7.0850202429149896</v>
      </c>
      <c r="N14" s="26"/>
      <c r="O14" s="32">
        <v>100</v>
      </c>
      <c r="P14" s="32">
        <f>(1500+90)/16</f>
        <v>99.375</v>
      </c>
      <c r="Q14" s="46">
        <f t="shared" si="1"/>
        <v>-0.625</v>
      </c>
    </row>
    <row r="15" spans="1:17" s="27" customFormat="1" x14ac:dyDescent="0.25">
      <c r="A15" s="26" t="s">
        <v>122</v>
      </c>
      <c r="B15" s="26">
        <v>2</v>
      </c>
      <c r="C15" s="32">
        <f>AVERAGE(6.53, 6.44)</f>
        <v>6.4850000000000003</v>
      </c>
      <c r="D15" s="32">
        <v>6.67</v>
      </c>
      <c r="E15" s="46">
        <f t="shared" si="2"/>
        <v>2.8527370855821061</v>
      </c>
      <c r="F15" s="26"/>
      <c r="G15" s="26"/>
      <c r="H15" s="26"/>
      <c r="I15" s="26"/>
      <c r="J15" s="26"/>
      <c r="K15" s="29">
        <v>6.44</v>
      </c>
      <c r="L15" s="26">
        <v>6.38</v>
      </c>
      <c r="M15" s="26">
        <f t="shared" si="0"/>
        <v>-0.93167701863354802</v>
      </c>
      <c r="N15" s="26"/>
      <c r="O15" s="32">
        <v>93.13</v>
      </c>
      <c r="P15" s="32">
        <f>AVERAGE(100, 100, 90, 100, 100, 100, 100, 100, 100, 100, 100, 100, 100, 100, 100, 80)</f>
        <v>98.125</v>
      </c>
      <c r="Q15" s="46">
        <f t="shared" si="1"/>
        <v>5.3634704176956998</v>
      </c>
    </row>
    <row r="16" spans="1:17" x14ac:dyDescent="0.25">
      <c r="A16" s="75" t="s">
        <v>123</v>
      </c>
      <c r="B16" s="67">
        <v>2</v>
      </c>
      <c r="C16" s="58" t="s">
        <v>148</v>
      </c>
      <c r="D16" s="69" t="s">
        <v>151</v>
      </c>
      <c r="E16" s="59"/>
      <c r="F16" s="239" t="s">
        <v>481</v>
      </c>
      <c r="G16" s="101"/>
      <c r="H16" s="101"/>
      <c r="I16" s="101"/>
      <c r="J16" s="101"/>
      <c r="K16" s="58" t="s">
        <v>148</v>
      </c>
      <c r="L16" s="69" t="s">
        <v>151</v>
      </c>
      <c r="M16" s="59"/>
      <c r="N16" s="64"/>
      <c r="O16" s="58" t="s">
        <v>148</v>
      </c>
      <c r="P16" s="69" t="s">
        <v>151</v>
      </c>
      <c r="Q16" s="59"/>
    </row>
    <row r="17" spans="1:17" x14ac:dyDescent="0.25">
      <c r="A17" s="20" t="s">
        <v>17</v>
      </c>
      <c r="B17" s="32"/>
      <c r="C17" s="17">
        <f>AVERAGE(C2:C16)</f>
        <v>5.3738214285714276</v>
      </c>
      <c r="D17" s="17">
        <f t="shared" ref="D17:Q17" si="3">AVERAGE(D2:D16)</f>
        <v>4.8153571428571427</v>
      </c>
      <c r="E17" s="33">
        <f t="shared" si="3"/>
        <v>-10.32503729629274</v>
      </c>
      <c r="F17" s="240" t="s">
        <v>484</v>
      </c>
      <c r="G17" s="6"/>
      <c r="H17" s="6"/>
      <c r="I17" s="6"/>
      <c r="J17" s="6"/>
      <c r="K17" s="17">
        <f t="shared" si="3"/>
        <v>5.2607142857142852</v>
      </c>
      <c r="L17" s="17">
        <f t="shared" si="3"/>
        <v>4.7192857142857134</v>
      </c>
      <c r="M17" s="33">
        <f t="shared" si="3"/>
        <v>-10.087422489153008</v>
      </c>
      <c r="N17" s="17"/>
      <c r="O17" s="17">
        <f t="shared" si="3"/>
        <v>94.440714285714293</v>
      </c>
      <c r="P17" s="17">
        <f t="shared" si="3"/>
        <v>95.666071428571428</v>
      </c>
      <c r="Q17" s="33">
        <f t="shared" si="3"/>
        <v>1.480871354229534</v>
      </c>
    </row>
    <row r="18" spans="1:17" x14ac:dyDescent="0.25">
      <c r="A18" s="38" t="s">
        <v>153</v>
      </c>
      <c r="B18" s="32"/>
      <c r="C18" s="32">
        <f>STDEV(C2:C16)</f>
        <v>0.63988387189043994</v>
      </c>
      <c r="D18" s="32">
        <f t="shared" ref="D18:Q18" si="4">STDEV(D2:D16)</f>
        <v>0.69664985213773178</v>
      </c>
      <c r="E18" s="32">
        <f t="shared" si="4"/>
        <v>7.3484566589957909</v>
      </c>
      <c r="F18" s="237" t="s">
        <v>485</v>
      </c>
      <c r="G18" s="63"/>
      <c r="H18" s="63"/>
      <c r="I18" s="63"/>
      <c r="J18" s="63"/>
      <c r="K18" s="32">
        <f t="shared" si="4"/>
        <v>0.65179591291133721</v>
      </c>
      <c r="L18" s="32">
        <f t="shared" si="4"/>
        <v>0.64687966168624134</v>
      </c>
      <c r="M18" s="32">
        <f t="shared" si="4"/>
        <v>7.6013769825475661</v>
      </c>
      <c r="N18" s="32"/>
      <c r="O18" s="32">
        <f t="shared" si="4"/>
        <v>5.1931589086556418</v>
      </c>
      <c r="P18" s="32">
        <f t="shared" si="4"/>
        <v>3.864166333899715</v>
      </c>
      <c r="Q18" s="32">
        <f t="shared" si="4"/>
        <v>5.1352436758949391</v>
      </c>
    </row>
    <row r="19" spans="1:17" x14ac:dyDescent="0.25">
      <c r="A19" s="54"/>
      <c r="B19" s="26"/>
      <c r="C19" s="32"/>
      <c r="D19" s="32"/>
      <c r="E19" s="46"/>
      <c r="F19" s="241" t="s">
        <v>475</v>
      </c>
      <c r="G19" s="77"/>
      <c r="H19" s="77"/>
      <c r="I19" s="77"/>
      <c r="J19" s="77"/>
      <c r="K19" s="26"/>
      <c r="L19" s="26"/>
      <c r="M19" s="26"/>
      <c r="N19" s="26"/>
      <c r="O19" s="32"/>
      <c r="P19" s="32"/>
      <c r="Q19" s="46"/>
    </row>
    <row r="20" spans="1:17" x14ac:dyDescent="0.25">
      <c r="B20" s="26"/>
      <c r="C20" s="33"/>
      <c r="D20" s="33" t="s">
        <v>185</v>
      </c>
      <c r="E20" s="48"/>
      <c r="K20" s="35"/>
      <c r="L20" s="35" t="s">
        <v>185</v>
      </c>
      <c r="M20" s="35"/>
      <c r="O20" s="33"/>
      <c r="P20" s="33" t="s">
        <v>185</v>
      </c>
      <c r="Q20" s="48"/>
    </row>
    <row r="21" spans="1:17" x14ac:dyDescent="0.25">
      <c r="C21" s="33"/>
      <c r="D21" s="33" t="s">
        <v>194</v>
      </c>
      <c r="E21" s="48"/>
      <c r="K21" s="35"/>
      <c r="L21" s="35" t="s">
        <v>194</v>
      </c>
      <c r="M21" s="35"/>
      <c r="O21" s="33"/>
      <c r="P21" s="33" t="s">
        <v>195</v>
      </c>
      <c r="Q21" s="48"/>
    </row>
    <row r="22" spans="1:17" x14ac:dyDescent="0.25">
      <c r="A22" s="15" t="s">
        <v>281</v>
      </c>
      <c r="C22" s="17">
        <v>0.55846399999999996</v>
      </c>
      <c r="D22" s="17">
        <v>0.419323</v>
      </c>
      <c r="E22" s="17"/>
      <c r="K22" s="15">
        <v>0.54142900000000005</v>
      </c>
      <c r="L22" s="15">
        <v>0.41711199999999998</v>
      </c>
      <c r="O22" s="17">
        <v>-1.225357</v>
      </c>
      <c r="P22" s="17">
        <v>4.5080799999999996</v>
      </c>
      <c r="Q22" s="17"/>
    </row>
    <row r="23" spans="1:17" x14ac:dyDescent="0.25">
      <c r="C23" s="35" t="s">
        <v>282</v>
      </c>
      <c r="D23" s="49">
        <f>C22/D22</f>
        <v>1.3318229622510569</v>
      </c>
      <c r="K23" s="35" t="s">
        <v>282</v>
      </c>
      <c r="L23" s="49">
        <f>K22/L22</f>
        <v>1.2980422524405917</v>
      </c>
      <c r="O23" s="35" t="s">
        <v>282</v>
      </c>
      <c r="P23" s="49">
        <f>O22/P22</f>
        <v>-0.27181349931678234</v>
      </c>
      <c r="Q23" s="17"/>
    </row>
    <row r="24" spans="1:17" x14ac:dyDescent="0.25">
      <c r="A24" s="189"/>
      <c r="C24" s="189" t="s">
        <v>447</v>
      </c>
      <c r="D24" s="189"/>
      <c r="E24" s="189">
        <f>(D17-C17)/C17*100</f>
        <v>-10.392311935507442</v>
      </c>
      <c r="O24" s="17"/>
      <c r="P24" s="17"/>
      <c r="Q24" s="17"/>
    </row>
    <row r="25" spans="1:17" x14ac:dyDescent="0.25">
      <c r="C25" s="6"/>
      <c r="D25" s="6"/>
      <c r="E25" s="6"/>
      <c r="F25" s="17"/>
      <c r="G25" s="17"/>
      <c r="H25" s="17"/>
      <c r="I25" s="17"/>
      <c r="J25" s="17"/>
      <c r="K25" s="6"/>
      <c r="L25" s="6"/>
      <c r="M25" s="17"/>
      <c r="O25" s="17"/>
      <c r="P25" s="17"/>
      <c r="Q25" s="17"/>
    </row>
    <row r="26" spans="1:17" x14ac:dyDescent="0.25">
      <c r="C26" s="6"/>
      <c r="D26" s="6"/>
      <c r="E26" s="6"/>
      <c r="F26" s="17"/>
      <c r="G26" s="17"/>
      <c r="H26" s="17"/>
      <c r="I26" s="17"/>
      <c r="J26" s="17"/>
      <c r="K26" s="6"/>
      <c r="L26" s="6"/>
      <c r="M26" s="17"/>
      <c r="O26" s="17"/>
      <c r="P26" s="17"/>
      <c r="Q26" s="17"/>
    </row>
    <row r="29" spans="1:17" x14ac:dyDescent="0.25">
      <c r="E29" s="17"/>
      <c r="F29" s="17"/>
      <c r="G29" s="17"/>
      <c r="H29" s="17"/>
      <c r="I29" s="17"/>
      <c r="J29" s="17"/>
      <c r="K29" s="17"/>
      <c r="L29" s="17"/>
      <c r="M29" s="17"/>
    </row>
    <row r="30" spans="1:17" x14ac:dyDescent="0.25">
      <c r="E30" s="17"/>
      <c r="F30" s="17"/>
      <c r="G30" s="17"/>
      <c r="H30" s="17"/>
      <c r="I30" s="17"/>
      <c r="J30" s="17"/>
      <c r="K30" s="17"/>
      <c r="L30" s="17"/>
      <c r="M30" s="17"/>
    </row>
    <row r="32" spans="1:17" x14ac:dyDescent="0.25">
      <c r="L32" s="17"/>
      <c r="M32" s="17"/>
      <c r="N32" s="17"/>
      <c r="O32" s="17"/>
      <c r="P32" s="17"/>
      <c r="Q32" s="17"/>
    </row>
    <row r="33" spans="12:17" x14ac:dyDescent="0.25">
      <c r="L33" s="17"/>
      <c r="M33" s="17"/>
      <c r="N33" s="17"/>
      <c r="O33" s="17"/>
      <c r="P33" s="17"/>
      <c r="Q33" s="17"/>
    </row>
    <row r="34" spans="12:17" x14ac:dyDescent="0.25">
      <c r="L34" s="17"/>
      <c r="M34" s="17"/>
      <c r="N34" s="17"/>
      <c r="O34" s="17"/>
      <c r="P34" s="17"/>
      <c r="Q34" s="17"/>
    </row>
    <row r="35" spans="12:17" x14ac:dyDescent="0.25">
      <c r="L35" s="17"/>
      <c r="M35" s="17"/>
      <c r="N35" s="17"/>
      <c r="O35" s="17"/>
      <c r="P35" s="17"/>
      <c r="Q35" s="17"/>
    </row>
    <row r="36" spans="12:17" x14ac:dyDescent="0.25">
      <c r="L36" s="17"/>
      <c r="M36" s="17"/>
      <c r="N36" s="17"/>
      <c r="O36" s="17"/>
      <c r="P36" s="17"/>
      <c r="Q36" s="17"/>
    </row>
    <row r="37" spans="12:17" x14ac:dyDescent="0.25">
      <c r="L37" s="17"/>
      <c r="M37" s="17"/>
      <c r="N37" s="17"/>
      <c r="O37" s="17"/>
      <c r="P37" s="17"/>
      <c r="Q37" s="17"/>
    </row>
    <row r="38" spans="12:17" x14ac:dyDescent="0.25">
      <c r="L38" s="17"/>
      <c r="M38" s="17"/>
      <c r="N38" s="17"/>
      <c r="O38" s="17"/>
      <c r="P38" s="17"/>
      <c r="Q38" s="17"/>
    </row>
    <row r="39" spans="12:17" x14ac:dyDescent="0.25">
      <c r="L39" s="17"/>
      <c r="M39" s="17"/>
      <c r="N39" s="17"/>
      <c r="O39" s="17"/>
      <c r="P39" s="17"/>
      <c r="Q39" s="17"/>
    </row>
    <row r="40" spans="12:17" x14ac:dyDescent="0.25">
      <c r="L40" s="17"/>
      <c r="M40" s="17"/>
      <c r="N40" s="17"/>
      <c r="O40" s="17"/>
      <c r="P40" s="17"/>
      <c r="Q40" s="17"/>
    </row>
    <row r="41" spans="12:17" x14ac:dyDescent="0.25">
      <c r="L41" s="17"/>
      <c r="M41" s="17"/>
      <c r="N41" s="17"/>
      <c r="O41" s="17"/>
      <c r="P41" s="17"/>
      <c r="Q41" s="17"/>
    </row>
  </sheetData>
  <mergeCells count="2">
    <mergeCell ref="G1:H1"/>
    <mergeCell ref="I1:J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H28"/>
  <sheetViews>
    <sheetView topLeftCell="B1" workbookViewId="0">
      <selection activeCell="G23" activeCellId="1" sqref="C23 G23"/>
    </sheetView>
  </sheetViews>
  <sheetFormatPr defaultRowHeight="15" x14ac:dyDescent="0.25"/>
  <cols>
    <col min="1" max="1" width="31" customWidth="1"/>
    <col min="3" max="3" width="20" customWidth="1"/>
    <col min="4" max="5" width="9.140625" style="2"/>
    <col min="7" max="7" width="25.7109375" customWidth="1"/>
  </cols>
  <sheetData>
    <row r="1" spans="1:8" x14ac:dyDescent="0.25">
      <c r="A1" s="82" t="s">
        <v>116</v>
      </c>
      <c r="B1" s="53" t="s">
        <v>285</v>
      </c>
      <c r="C1" s="53" t="s">
        <v>286</v>
      </c>
      <c r="D1" s="53" t="s">
        <v>137</v>
      </c>
      <c r="E1" s="53"/>
      <c r="F1" s="52" t="s">
        <v>287</v>
      </c>
      <c r="G1" s="87" t="s">
        <v>288</v>
      </c>
      <c r="H1" s="53" t="s">
        <v>137</v>
      </c>
    </row>
    <row r="2" spans="1:8" x14ac:dyDescent="0.25">
      <c r="A2" s="82" t="s">
        <v>11</v>
      </c>
      <c r="B2" s="82">
        <v>56.95</v>
      </c>
      <c r="C2" s="82">
        <v>56.84</v>
      </c>
      <c r="D2" s="82">
        <f t="shared" ref="D2:D15" si="0">(C2-B2)/B2*100</f>
        <v>-0.19315188762071892</v>
      </c>
      <c r="E2" s="66"/>
      <c r="F2" s="66">
        <v>44.54</v>
      </c>
      <c r="G2" s="83">
        <v>47.67</v>
      </c>
      <c r="H2" s="66">
        <f>(G2-F2)/F2*100</f>
        <v>7.027391109115408</v>
      </c>
    </row>
    <row r="3" spans="1:8" x14ac:dyDescent="0.25">
      <c r="A3" s="82" t="s">
        <v>10</v>
      </c>
      <c r="B3" s="82">
        <v>57.65</v>
      </c>
      <c r="C3" s="82">
        <v>58.52</v>
      </c>
      <c r="D3" s="82">
        <f t="shared" si="0"/>
        <v>1.5091066782307105</v>
      </c>
      <c r="E3" s="66"/>
      <c r="F3" s="66">
        <v>56.85</v>
      </c>
      <c r="G3" s="83">
        <v>54.22</v>
      </c>
      <c r="H3" s="66">
        <f t="shared" ref="H3:H15" si="1">(G3-F3)/F3*100</f>
        <v>-4.626209322779248</v>
      </c>
    </row>
    <row r="4" spans="1:8" x14ac:dyDescent="0.25">
      <c r="A4" s="82" t="s">
        <v>12</v>
      </c>
      <c r="B4" s="82">
        <v>53.8</v>
      </c>
      <c r="C4" s="82">
        <v>53.13</v>
      </c>
      <c r="D4" s="82">
        <f t="shared" si="0"/>
        <v>-1.2453531598512912</v>
      </c>
      <c r="E4" s="66"/>
      <c r="F4" s="66">
        <v>57.92</v>
      </c>
      <c r="G4" s="83">
        <v>59.87</v>
      </c>
      <c r="H4" s="66">
        <f t="shared" si="1"/>
        <v>3.3667127071823129</v>
      </c>
    </row>
    <row r="5" spans="1:8" x14ac:dyDescent="0.25">
      <c r="A5" s="82" t="s">
        <v>13</v>
      </c>
      <c r="B5" s="82">
        <v>48.66</v>
      </c>
      <c r="C5" s="82">
        <v>54.21</v>
      </c>
      <c r="D5" s="82">
        <f t="shared" si="0"/>
        <v>11.405672009864375</v>
      </c>
      <c r="E5" s="66"/>
      <c r="F5" s="66">
        <v>58.64</v>
      </c>
      <c r="G5" s="83">
        <v>55.96</v>
      </c>
      <c r="H5" s="66">
        <f t="shared" si="1"/>
        <v>-4.5702592087312404</v>
      </c>
    </row>
    <row r="6" spans="1:8" x14ac:dyDescent="0.25">
      <c r="A6" s="82" t="s">
        <v>14</v>
      </c>
      <c r="B6" s="82">
        <v>51.83</v>
      </c>
      <c r="C6" s="82">
        <v>51.03</v>
      </c>
      <c r="D6" s="82">
        <f t="shared" si="0"/>
        <v>-1.5435076210688736</v>
      </c>
      <c r="E6" s="82"/>
      <c r="F6" s="66">
        <v>45.05</v>
      </c>
      <c r="G6" s="83">
        <v>51.26</v>
      </c>
      <c r="H6" s="66">
        <f t="shared" si="1"/>
        <v>13.784683684794674</v>
      </c>
    </row>
    <row r="7" spans="1:8" x14ac:dyDescent="0.25">
      <c r="A7" s="82" t="s">
        <v>15</v>
      </c>
      <c r="B7" s="82">
        <v>52.43</v>
      </c>
      <c r="C7" s="82">
        <v>49.24</v>
      </c>
      <c r="D7" s="82">
        <f t="shared" si="0"/>
        <v>-6.0843028800305126</v>
      </c>
      <c r="E7" s="66"/>
      <c r="F7" s="66">
        <v>48.74</v>
      </c>
      <c r="G7" s="83">
        <v>53.52</v>
      </c>
      <c r="H7" s="66">
        <f t="shared" si="1"/>
        <v>9.8071399261386976</v>
      </c>
    </row>
    <row r="8" spans="1:8" x14ac:dyDescent="0.25">
      <c r="A8" s="82" t="s">
        <v>16</v>
      </c>
      <c r="B8" s="82">
        <v>54.78</v>
      </c>
      <c r="C8" s="82">
        <v>56.15</v>
      </c>
      <c r="D8" s="82">
        <f t="shared" si="0"/>
        <v>2.5009127418765926</v>
      </c>
      <c r="E8" s="66"/>
      <c r="F8" s="66">
        <v>57.1</v>
      </c>
      <c r="G8" s="83">
        <v>59.84</v>
      </c>
      <c r="H8" s="66">
        <f t="shared" si="1"/>
        <v>4.7985989492119119</v>
      </c>
    </row>
    <row r="9" spans="1:8" x14ac:dyDescent="0.25">
      <c r="A9" s="82" t="s">
        <v>112</v>
      </c>
      <c r="B9" s="82">
        <v>47.38</v>
      </c>
      <c r="C9" s="84">
        <v>47.858469999999997</v>
      </c>
      <c r="D9" s="82">
        <f t="shared" si="0"/>
        <v>1.0098564795272147</v>
      </c>
      <c r="E9" s="66"/>
      <c r="F9" s="66">
        <v>53.4</v>
      </c>
      <c r="G9" s="85">
        <v>42.698219999999999</v>
      </c>
      <c r="H9" s="66">
        <f t="shared" si="1"/>
        <v>-20.040786516853931</v>
      </c>
    </row>
    <row r="10" spans="1:8" x14ac:dyDescent="0.25">
      <c r="A10" s="82" t="s">
        <v>113</v>
      </c>
      <c r="B10" s="82">
        <v>50.98</v>
      </c>
      <c r="C10" s="84">
        <v>55.500970000000002</v>
      </c>
      <c r="D10" s="82">
        <f t="shared" si="0"/>
        <v>8.8681247548058177</v>
      </c>
      <c r="E10" s="66"/>
      <c r="F10" s="66">
        <v>58</v>
      </c>
      <c r="G10" s="85">
        <v>57.827109999999998</v>
      </c>
      <c r="H10" s="66">
        <f t="shared" si="1"/>
        <v>-0.29808620689655591</v>
      </c>
    </row>
    <row r="11" spans="1:8" x14ac:dyDescent="0.25">
      <c r="A11" s="82" t="s">
        <v>114</v>
      </c>
      <c r="B11" s="82">
        <v>51.73</v>
      </c>
      <c r="C11" s="86" t="s">
        <v>135</v>
      </c>
      <c r="D11" s="82">
        <v>5.8959900000000003</v>
      </c>
      <c r="E11" s="66"/>
      <c r="F11" s="66">
        <v>44.21</v>
      </c>
      <c r="G11" s="83">
        <v>57.1</v>
      </c>
      <c r="H11" s="66">
        <f t="shared" si="1"/>
        <v>29.15629947975571</v>
      </c>
    </row>
    <row r="12" spans="1:8" x14ac:dyDescent="0.25">
      <c r="A12" s="82" t="s">
        <v>115</v>
      </c>
      <c r="B12" s="82">
        <v>56.17</v>
      </c>
      <c r="C12" s="82">
        <v>48.93</v>
      </c>
      <c r="D12" s="82">
        <f t="shared" si="0"/>
        <v>-12.889442763040773</v>
      </c>
      <c r="E12" s="66"/>
      <c r="F12" s="66">
        <v>49.37</v>
      </c>
      <c r="G12" s="83">
        <v>49.01</v>
      </c>
      <c r="H12" s="66">
        <f t="shared" si="1"/>
        <v>-0.72918776584970513</v>
      </c>
    </row>
    <row r="13" spans="1:8" x14ac:dyDescent="0.25">
      <c r="A13" s="53" t="s">
        <v>117</v>
      </c>
      <c r="B13" s="82">
        <v>56.61</v>
      </c>
      <c r="C13" s="82">
        <v>56.61</v>
      </c>
      <c r="D13" s="82">
        <f t="shared" si="0"/>
        <v>0</v>
      </c>
      <c r="E13" s="66"/>
      <c r="F13" s="66">
        <v>53.72</v>
      </c>
      <c r="G13" s="87">
        <v>53.72</v>
      </c>
      <c r="H13" s="66">
        <f t="shared" si="1"/>
        <v>0</v>
      </c>
    </row>
    <row r="14" spans="1:8" x14ac:dyDescent="0.25">
      <c r="A14" s="53" t="s">
        <v>121</v>
      </c>
      <c r="B14" s="82">
        <v>50.16</v>
      </c>
      <c r="C14" s="82">
        <v>55.92</v>
      </c>
      <c r="D14" s="82">
        <f t="shared" si="0"/>
        <v>11.483253588516758</v>
      </c>
      <c r="E14" s="66"/>
      <c r="F14" s="66">
        <v>58.84</v>
      </c>
      <c r="G14" s="87">
        <v>58.75</v>
      </c>
      <c r="H14" s="66">
        <f t="shared" si="1"/>
        <v>-0.15295717199184808</v>
      </c>
    </row>
    <row r="15" spans="1:8" x14ac:dyDescent="0.25">
      <c r="A15" s="53" t="s">
        <v>122</v>
      </c>
      <c r="B15" s="82">
        <v>47.45</v>
      </c>
      <c r="C15" s="82">
        <v>54.22</v>
      </c>
      <c r="D15" s="82">
        <f t="shared" si="0"/>
        <v>14.267650158061107</v>
      </c>
      <c r="E15" s="66"/>
      <c r="F15" s="66">
        <v>58.62</v>
      </c>
      <c r="G15" s="87">
        <v>58.84</v>
      </c>
      <c r="H15" s="66">
        <f t="shared" si="1"/>
        <v>0.37529853292392695</v>
      </c>
    </row>
    <row r="16" spans="1:8" x14ac:dyDescent="0.25">
      <c r="A16" s="100" t="s">
        <v>123</v>
      </c>
      <c r="B16" s="58" t="s">
        <v>148</v>
      </c>
      <c r="C16" s="69" t="s">
        <v>151</v>
      </c>
      <c r="D16" s="59"/>
      <c r="E16" s="66"/>
      <c r="F16" s="58" t="s">
        <v>148</v>
      </c>
      <c r="G16" s="69" t="s">
        <v>151</v>
      </c>
      <c r="H16" s="59"/>
    </row>
    <row r="17" spans="1:8" s="2" customFormat="1" x14ac:dyDescent="0.25">
      <c r="A17" s="95" t="s">
        <v>17</v>
      </c>
      <c r="B17" s="46">
        <f>AVERAGE(B2:B16)</f>
        <v>52.612857142857145</v>
      </c>
      <c r="C17" s="46">
        <f t="shared" ref="C17:H17" si="2">AVERAGE(C2:C16)</f>
        <v>53.70457230769231</v>
      </c>
      <c r="D17" s="48">
        <f t="shared" si="2"/>
        <v>2.4989148642336008</v>
      </c>
      <c r="E17" s="46"/>
      <c r="F17" s="46">
        <f t="shared" si="2"/>
        <v>53.214285714285722</v>
      </c>
      <c r="G17" s="46">
        <f t="shared" si="2"/>
        <v>54.306095000000006</v>
      </c>
      <c r="H17" s="48">
        <f t="shared" si="2"/>
        <v>2.707045585430008</v>
      </c>
    </row>
    <row r="18" spans="1:8" s="2" customFormat="1" x14ac:dyDescent="0.25">
      <c r="A18" s="95" t="s">
        <v>153</v>
      </c>
      <c r="B18" s="46">
        <f>STDEV(B2:B16)</f>
        <v>3.4938548879456888</v>
      </c>
      <c r="C18" s="46">
        <f t="shared" ref="C18:H18" si="3">STDEV(C2:C16)</f>
        <v>3.4215797265764882</v>
      </c>
      <c r="D18" s="46">
        <f t="shared" si="3"/>
        <v>7.3807518253134283</v>
      </c>
      <c r="E18" s="46"/>
      <c r="F18" s="46">
        <f t="shared" si="3"/>
        <v>5.6957254070124845</v>
      </c>
      <c r="G18" s="46">
        <f t="shared" si="3"/>
        <v>5.1283621919534603</v>
      </c>
      <c r="H18" s="46">
        <f t="shared" si="3"/>
        <v>10.961985043767895</v>
      </c>
    </row>
    <row r="19" spans="1:8" x14ac:dyDescent="0.25">
      <c r="A19" s="53"/>
      <c r="B19" s="50"/>
      <c r="C19" s="50"/>
      <c r="D19" s="50"/>
      <c r="E19" s="66"/>
      <c r="F19" s="50"/>
      <c r="G19" s="50"/>
      <c r="H19" s="50"/>
    </row>
    <row r="20" spans="1:8" x14ac:dyDescent="0.25">
      <c r="A20" s="66"/>
      <c r="B20" s="66"/>
      <c r="C20" s="35" t="s">
        <v>185</v>
      </c>
      <c r="D20" s="66"/>
      <c r="E20" s="66"/>
      <c r="F20" s="66"/>
      <c r="G20" s="35" t="s">
        <v>185</v>
      </c>
      <c r="H20" s="66"/>
    </row>
    <row r="21" spans="1:8" x14ac:dyDescent="0.25">
      <c r="B21" s="66"/>
      <c r="C21" s="35" t="s">
        <v>196</v>
      </c>
      <c r="D21" s="66"/>
      <c r="E21" s="66"/>
      <c r="F21" s="66"/>
      <c r="G21" s="35" t="s">
        <v>197</v>
      </c>
      <c r="H21" s="66"/>
    </row>
    <row r="22" spans="1:8" x14ac:dyDescent="0.25">
      <c r="A22" t="s">
        <v>281</v>
      </c>
      <c r="B22">
        <v>2.7442859999999998</v>
      </c>
      <c r="C22">
        <v>14.590196000000001</v>
      </c>
      <c r="D22" s="66"/>
      <c r="E22" s="66"/>
      <c r="F22" s="66">
        <v>-1.0921430000000001</v>
      </c>
      <c r="G22" s="66">
        <v>5.2680239999999996</v>
      </c>
      <c r="H22" s="66"/>
    </row>
    <row r="23" spans="1:8" s="2" customFormat="1" x14ac:dyDescent="0.25">
      <c r="B23" s="50" t="s">
        <v>282</v>
      </c>
      <c r="C23" s="56">
        <f>B22/C22</f>
        <v>0.1880910989818094</v>
      </c>
      <c r="D23" s="66"/>
      <c r="E23" s="66"/>
      <c r="F23" s="50" t="s">
        <v>282</v>
      </c>
      <c r="G23" s="56">
        <f>F22/G22</f>
        <v>-0.20731549438651004</v>
      </c>
      <c r="H23" s="66"/>
    </row>
    <row r="25" spans="1:8" x14ac:dyDescent="0.25">
      <c r="A25" s="1" t="s">
        <v>4</v>
      </c>
    </row>
    <row r="26" spans="1:8" x14ac:dyDescent="0.25">
      <c r="A26" s="88" t="s">
        <v>120</v>
      </c>
      <c r="B26" s="66"/>
      <c r="C26" s="66"/>
    </row>
    <row r="27" spans="1:8" x14ac:dyDescent="0.25">
      <c r="A27" t="s">
        <v>289</v>
      </c>
    </row>
    <row r="28" spans="1:8" x14ac:dyDescent="0.25">
      <c r="A28" t="s">
        <v>290</v>
      </c>
    </row>
  </sheetData>
  <hyperlinks>
    <hyperlink ref="A26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P36"/>
  <sheetViews>
    <sheetView workbookViewId="0">
      <selection activeCell="P25" sqref="P25"/>
    </sheetView>
  </sheetViews>
  <sheetFormatPr defaultRowHeight="15" x14ac:dyDescent="0.25"/>
  <cols>
    <col min="1" max="1" width="9.140625" style="1"/>
    <col min="2" max="2" width="9.42578125" customWidth="1"/>
  </cols>
  <sheetData>
    <row r="1" spans="1:16" s="66" customFormat="1" x14ac:dyDescent="0.25">
      <c r="A1" s="82"/>
      <c r="B1" s="52" t="s">
        <v>103</v>
      </c>
      <c r="C1" s="52" t="s">
        <v>104</v>
      </c>
      <c r="D1" s="52" t="s">
        <v>23</v>
      </c>
      <c r="F1" s="66" t="s">
        <v>142</v>
      </c>
      <c r="G1" s="66" t="s">
        <v>143</v>
      </c>
      <c r="H1" s="66" t="s">
        <v>23</v>
      </c>
      <c r="J1" s="66" t="s">
        <v>147</v>
      </c>
      <c r="K1" s="66" t="s">
        <v>146</v>
      </c>
      <c r="L1" s="66" t="s">
        <v>23</v>
      </c>
      <c r="N1" s="66" t="s">
        <v>145</v>
      </c>
      <c r="O1" s="66" t="s">
        <v>144</v>
      </c>
      <c r="P1" s="66" t="s">
        <v>23</v>
      </c>
    </row>
    <row r="2" spans="1:16" x14ac:dyDescent="0.25">
      <c r="A2" s="82" t="s">
        <v>11</v>
      </c>
      <c r="B2" s="4">
        <v>68</v>
      </c>
      <c r="C2" s="7">
        <v>61</v>
      </c>
      <c r="D2" s="4">
        <f>(C2-B2)/B2*100</f>
        <v>-10.294117647058822</v>
      </c>
      <c r="F2" s="2">
        <v>55</v>
      </c>
      <c r="G2" s="2">
        <v>49</v>
      </c>
      <c r="H2" s="2">
        <f>(G2-F2)/F2*100</f>
        <v>-10.909090909090908</v>
      </c>
      <c r="J2" s="2">
        <v>12</v>
      </c>
      <c r="K2" s="2">
        <v>11</v>
      </c>
      <c r="L2" s="2">
        <f>(K2-J2)/J2*100</f>
        <v>-8.3333333333333321</v>
      </c>
      <c r="N2" s="2">
        <v>11</v>
      </c>
      <c r="O2" s="2">
        <v>11</v>
      </c>
      <c r="P2" s="2">
        <f>(O2-N2)/N2*100</f>
        <v>0</v>
      </c>
    </row>
    <row r="3" spans="1:16" x14ac:dyDescent="0.25">
      <c r="A3" s="82" t="s">
        <v>10</v>
      </c>
      <c r="B3" s="4">
        <v>48</v>
      </c>
      <c r="C3" s="7">
        <v>68</v>
      </c>
      <c r="D3" s="4">
        <f t="shared" ref="D3:D15" si="0">(C3-B3)/B3*100</f>
        <v>41.666666666666671</v>
      </c>
      <c r="F3" s="2">
        <v>39</v>
      </c>
      <c r="G3" s="2">
        <v>56</v>
      </c>
      <c r="H3" s="2">
        <f t="shared" ref="H3:H15" si="1">(G3-F3)/F3*100</f>
        <v>43.589743589743591</v>
      </c>
      <c r="J3" s="2">
        <v>8</v>
      </c>
      <c r="K3" s="2">
        <v>9</v>
      </c>
      <c r="L3" s="2">
        <f t="shared" ref="L3:L15" si="2">(K3-J3)/J3*100</f>
        <v>12.5</v>
      </c>
      <c r="N3" s="2">
        <v>12</v>
      </c>
      <c r="O3" s="2">
        <v>12</v>
      </c>
      <c r="P3" s="2">
        <f t="shared" ref="P3:P15" si="3">(O3-N3)/N3*100</f>
        <v>0</v>
      </c>
    </row>
    <row r="4" spans="1:16" x14ac:dyDescent="0.25">
      <c r="A4" s="82" t="s">
        <v>12</v>
      </c>
      <c r="B4" s="4">
        <v>60</v>
      </c>
      <c r="C4" s="7">
        <v>62</v>
      </c>
      <c r="D4" s="4">
        <f t="shared" si="0"/>
        <v>3.3333333333333335</v>
      </c>
      <c r="F4" s="2">
        <v>53</v>
      </c>
      <c r="G4" s="2">
        <v>55</v>
      </c>
      <c r="H4" s="2">
        <f t="shared" si="1"/>
        <v>3.7735849056603774</v>
      </c>
      <c r="J4" s="2">
        <v>8</v>
      </c>
      <c r="K4" s="2">
        <v>8</v>
      </c>
      <c r="L4" s="2">
        <f t="shared" si="2"/>
        <v>0</v>
      </c>
      <c r="N4" s="2">
        <v>9</v>
      </c>
      <c r="O4" s="2">
        <v>11</v>
      </c>
      <c r="P4" s="2">
        <f t="shared" si="3"/>
        <v>22.222222222222221</v>
      </c>
    </row>
    <row r="5" spans="1:16" s="27" customFormat="1" x14ac:dyDescent="0.25">
      <c r="A5" s="30" t="s">
        <v>13</v>
      </c>
      <c r="B5" s="41">
        <v>64</v>
      </c>
      <c r="C5" s="31">
        <v>71</v>
      </c>
      <c r="D5" s="41">
        <f t="shared" si="0"/>
        <v>10.9375</v>
      </c>
      <c r="F5" s="2">
        <v>60</v>
      </c>
      <c r="G5" s="2">
        <v>67</v>
      </c>
      <c r="H5" s="2">
        <f t="shared" si="1"/>
        <v>11.666666666666666</v>
      </c>
      <c r="J5" s="2">
        <v>15</v>
      </c>
      <c r="K5" s="2">
        <v>14</v>
      </c>
      <c r="L5" s="2">
        <f t="shared" si="2"/>
        <v>-6.666666666666667</v>
      </c>
      <c r="N5" s="2">
        <v>11</v>
      </c>
      <c r="O5" s="2">
        <v>15</v>
      </c>
      <c r="P5" s="2">
        <f t="shared" si="3"/>
        <v>36.363636363636367</v>
      </c>
    </row>
    <row r="6" spans="1:16" s="27" customFormat="1" x14ac:dyDescent="0.25">
      <c r="A6" s="30" t="s">
        <v>14</v>
      </c>
      <c r="B6" s="41">
        <v>62</v>
      </c>
      <c r="C6" s="31">
        <v>73</v>
      </c>
      <c r="D6" s="41">
        <f t="shared" si="0"/>
        <v>17.741935483870968</v>
      </c>
      <c r="F6" s="2">
        <v>50</v>
      </c>
      <c r="G6" s="2">
        <v>61</v>
      </c>
      <c r="H6" s="2">
        <f t="shared" si="1"/>
        <v>22</v>
      </c>
      <c r="J6" s="2">
        <v>12</v>
      </c>
      <c r="K6" s="2">
        <v>12</v>
      </c>
      <c r="L6" s="2">
        <f t="shared" si="2"/>
        <v>0</v>
      </c>
      <c r="N6" s="2">
        <v>11</v>
      </c>
      <c r="O6" s="2">
        <v>12</v>
      </c>
      <c r="P6" s="2">
        <f t="shared" si="3"/>
        <v>9.0909090909090917</v>
      </c>
    </row>
    <row r="7" spans="1:16" s="27" customFormat="1" x14ac:dyDescent="0.25">
      <c r="A7" s="30" t="s">
        <v>15</v>
      </c>
      <c r="B7" s="41">
        <v>40</v>
      </c>
      <c r="C7" s="31">
        <v>54</v>
      </c>
      <c r="D7" s="41">
        <f t="shared" si="0"/>
        <v>35</v>
      </c>
      <c r="F7" s="2">
        <v>36</v>
      </c>
      <c r="G7" s="2">
        <v>50</v>
      </c>
      <c r="H7" s="2">
        <f t="shared" si="1"/>
        <v>38.888888888888893</v>
      </c>
      <c r="J7" s="2">
        <v>7</v>
      </c>
      <c r="K7" s="2">
        <v>13</v>
      </c>
      <c r="L7" s="2">
        <f t="shared" si="2"/>
        <v>85.714285714285708</v>
      </c>
      <c r="N7" s="2">
        <v>6</v>
      </c>
      <c r="O7" s="2">
        <v>13</v>
      </c>
      <c r="P7" s="2">
        <f t="shared" si="3"/>
        <v>116.66666666666667</v>
      </c>
    </row>
    <row r="8" spans="1:16" s="27" customFormat="1" x14ac:dyDescent="0.25">
      <c r="A8" s="30" t="s">
        <v>16</v>
      </c>
      <c r="B8" s="41">
        <v>64</v>
      </c>
      <c r="C8" s="31">
        <v>61</v>
      </c>
      <c r="D8" s="41">
        <f t="shared" si="0"/>
        <v>-4.6875</v>
      </c>
      <c r="F8" s="2">
        <v>41</v>
      </c>
      <c r="G8" s="2">
        <v>39</v>
      </c>
      <c r="H8" s="2">
        <f t="shared" si="1"/>
        <v>-4.8780487804878048</v>
      </c>
      <c r="J8" s="2">
        <v>9</v>
      </c>
      <c r="K8" s="2">
        <v>7</v>
      </c>
      <c r="L8" s="2">
        <f t="shared" si="2"/>
        <v>-22.222222222222221</v>
      </c>
      <c r="N8" s="2">
        <v>10</v>
      </c>
      <c r="O8" s="2">
        <v>8</v>
      </c>
      <c r="P8" s="2">
        <f t="shared" si="3"/>
        <v>-20</v>
      </c>
    </row>
    <row r="9" spans="1:16" s="27" customFormat="1" x14ac:dyDescent="0.25">
      <c r="A9" s="30" t="s">
        <v>112</v>
      </c>
      <c r="B9" s="41">
        <v>63</v>
      </c>
      <c r="C9" s="31">
        <v>65</v>
      </c>
      <c r="D9" s="96">
        <f t="shared" si="0"/>
        <v>3.1746031746031744</v>
      </c>
      <c r="F9" s="2">
        <v>56</v>
      </c>
      <c r="G9" s="2">
        <v>58</v>
      </c>
      <c r="H9" s="2">
        <f t="shared" si="1"/>
        <v>3.5714285714285712</v>
      </c>
      <c r="J9" s="2">
        <v>14</v>
      </c>
      <c r="K9" s="2">
        <v>11</v>
      </c>
      <c r="L9" s="2">
        <f t="shared" si="2"/>
        <v>-21.428571428571427</v>
      </c>
      <c r="N9" s="2">
        <v>12</v>
      </c>
      <c r="O9" s="2">
        <v>11</v>
      </c>
      <c r="P9" s="2">
        <f t="shared" si="3"/>
        <v>-8.3333333333333321</v>
      </c>
    </row>
    <row r="10" spans="1:16" s="27" customFormat="1" x14ac:dyDescent="0.25">
      <c r="A10" s="30" t="s">
        <v>113</v>
      </c>
      <c r="B10" s="41">
        <v>64</v>
      </c>
      <c r="C10" s="31">
        <v>76</v>
      </c>
      <c r="D10" s="96">
        <f t="shared" si="0"/>
        <v>18.75</v>
      </c>
      <c r="F10" s="2">
        <v>60</v>
      </c>
      <c r="G10" s="2">
        <v>71</v>
      </c>
      <c r="H10" s="2">
        <f t="shared" si="1"/>
        <v>18.333333333333332</v>
      </c>
      <c r="J10" s="2">
        <v>13</v>
      </c>
      <c r="K10" s="2">
        <v>16</v>
      </c>
      <c r="L10" s="2">
        <f t="shared" si="2"/>
        <v>23.076923076923077</v>
      </c>
      <c r="N10" s="2">
        <v>16</v>
      </c>
      <c r="O10" s="2">
        <v>16</v>
      </c>
      <c r="P10" s="2">
        <f t="shared" si="3"/>
        <v>0</v>
      </c>
    </row>
    <row r="11" spans="1:16" s="27" customFormat="1" x14ac:dyDescent="0.25">
      <c r="A11" s="30" t="s">
        <v>114</v>
      </c>
      <c r="B11" s="41">
        <v>70</v>
      </c>
      <c r="C11" s="41">
        <v>76</v>
      </c>
      <c r="D11" s="96">
        <f t="shared" si="0"/>
        <v>8.5714285714285712</v>
      </c>
      <c r="F11" s="2">
        <v>56</v>
      </c>
      <c r="G11" s="2">
        <v>62</v>
      </c>
      <c r="H11" s="2">
        <f t="shared" si="1"/>
        <v>10.714285714285714</v>
      </c>
      <c r="J11" s="2">
        <v>14</v>
      </c>
      <c r="K11" s="2">
        <v>13</v>
      </c>
      <c r="L11" s="2">
        <f t="shared" si="2"/>
        <v>-7.1428571428571423</v>
      </c>
      <c r="N11" s="2">
        <v>14</v>
      </c>
      <c r="O11" s="2">
        <v>15</v>
      </c>
      <c r="P11" s="2">
        <f t="shared" si="3"/>
        <v>7.1428571428571423</v>
      </c>
    </row>
    <row r="12" spans="1:16" s="27" customFormat="1" x14ac:dyDescent="0.25">
      <c r="A12" s="30" t="s">
        <v>115</v>
      </c>
      <c r="B12" s="41">
        <v>64</v>
      </c>
      <c r="C12" s="41">
        <v>63</v>
      </c>
      <c r="D12" s="96">
        <f t="shared" si="0"/>
        <v>-1.5625</v>
      </c>
      <c r="F12" s="2">
        <v>52</v>
      </c>
      <c r="G12" s="2">
        <v>51</v>
      </c>
      <c r="H12" s="2">
        <f t="shared" si="1"/>
        <v>-1.9230769230769231</v>
      </c>
      <c r="J12" s="2">
        <v>10</v>
      </c>
      <c r="K12" s="2">
        <v>9</v>
      </c>
      <c r="L12" s="2">
        <f t="shared" si="2"/>
        <v>-10</v>
      </c>
      <c r="N12" s="2">
        <v>14</v>
      </c>
      <c r="O12" s="2">
        <v>13</v>
      </c>
      <c r="P12" s="2">
        <f t="shared" si="3"/>
        <v>-7.1428571428571423</v>
      </c>
    </row>
    <row r="13" spans="1:16" s="27" customFormat="1" x14ac:dyDescent="0.25">
      <c r="A13" s="30" t="s">
        <v>117</v>
      </c>
      <c r="B13" s="41">
        <v>64</v>
      </c>
      <c r="C13" s="41">
        <v>66</v>
      </c>
      <c r="D13" s="96">
        <f t="shared" si="0"/>
        <v>3.125</v>
      </c>
      <c r="F13" s="2">
        <v>52</v>
      </c>
      <c r="G13" s="2">
        <v>54</v>
      </c>
      <c r="H13" s="2">
        <f t="shared" si="1"/>
        <v>3.8461538461538463</v>
      </c>
      <c r="J13" s="2">
        <v>10</v>
      </c>
      <c r="K13" s="2">
        <v>7</v>
      </c>
      <c r="L13" s="2">
        <f t="shared" si="2"/>
        <v>-30</v>
      </c>
      <c r="N13" s="2">
        <v>10</v>
      </c>
      <c r="O13" s="2">
        <v>9</v>
      </c>
      <c r="P13" s="2">
        <f t="shared" si="3"/>
        <v>-10</v>
      </c>
    </row>
    <row r="14" spans="1:16" s="27" customFormat="1" x14ac:dyDescent="0.25">
      <c r="A14" s="30" t="s">
        <v>121</v>
      </c>
      <c r="B14" s="41">
        <v>52</v>
      </c>
      <c r="C14" s="41">
        <v>64</v>
      </c>
      <c r="D14" s="96">
        <f t="shared" si="0"/>
        <v>23.076923076923077</v>
      </c>
      <c r="F14" s="2">
        <v>48</v>
      </c>
      <c r="G14" s="2">
        <v>60</v>
      </c>
      <c r="H14" s="2">
        <f t="shared" si="1"/>
        <v>25</v>
      </c>
      <c r="J14" s="2">
        <v>8</v>
      </c>
      <c r="K14" s="2">
        <v>9</v>
      </c>
      <c r="L14" s="2">
        <f t="shared" si="2"/>
        <v>12.5</v>
      </c>
      <c r="N14" s="2">
        <v>9</v>
      </c>
      <c r="O14" s="2">
        <v>12</v>
      </c>
      <c r="P14" s="2">
        <f t="shared" si="3"/>
        <v>33.333333333333329</v>
      </c>
    </row>
    <row r="15" spans="1:16" s="27" customFormat="1" x14ac:dyDescent="0.25">
      <c r="A15" s="30" t="s">
        <v>122</v>
      </c>
      <c r="B15" s="41">
        <v>47</v>
      </c>
      <c r="C15" s="41">
        <v>63</v>
      </c>
      <c r="D15" s="96">
        <f t="shared" si="0"/>
        <v>34.042553191489361</v>
      </c>
      <c r="F15" s="2">
        <v>38</v>
      </c>
      <c r="G15" s="2">
        <v>51</v>
      </c>
      <c r="H15" s="2">
        <f t="shared" si="1"/>
        <v>34.210526315789473</v>
      </c>
      <c r="J15" s="2">
        <v>4</v>
      </c>
      <c r="K15" s="2">
        <v>7</v>
      </c>
      <c r="L15" s="2">
        <f t="shared" si="2"/>
        <v>75</v>
      </c>
      <c r="N15" s="2">
        <v>6</v>
      </c>
      <c r="O15" s="2">
        <v>9</v>
      </c>
      <c r="P15" s="2">
        <f t="shared" si="3"/>
        <v>50</v>
      </c>
    </row>
    <row r="16" spans="1:16" x14ac:dyDescent="0.25">
      <c r="A16" s="99" t="s">
        <v>123</v>
      </c>
      <c r="B16" s="66"/>
      <c r="C16" s="58" t="s">
        <v>148</v>
      </c>
      <c r="D16" s="69" t="s">
        <v>151</v>
      </c>
      <c r="E16" s="10"/>
      <c r="F16" s="66"/>
      <c r="G16" s="58" t="s">
        <v>148</v>
      </c>
      <c r="H16" s="69" t="s">
        <v>151</v>
      </c>
      <c r="J16" s="66"/>
      <c r="K16" s="58" t="s">
        <v>148</v>
      </c>
      <c r="L16" s="69" t="s">
        <v>151</v>
      </c>
      <c r="N16" s="66"/>
      <c r="O16" s="58" t="s">
        <v>148</v>
      </c>
      <c r="P16" s="69" t="s">
        <v>151</v>
      </c>
    </row>
    <row r="17" spans="1:16" s="2" customFormat="1" x14ac:dyDescent="0.25">
      <c r="A17" s="1" t="s">
        <v>17</v>
      </c>
      <c r="B17" s="4">
        <f>AVERAGE(B2:B16)</f>
        <v>59.285714285714285</v>
      </c>
      <c r="C17" s="4">
        <f>AVERAGE(C2:C16)</f>
        <v>65.928571428571431</v>
      </c>
      <c r="D17" s="51">
        <f>AVERAGE(D2:D16)</f>
        <v>13.062558989375452</v>
      </c>
      <c r="E17" s="4"/>
      <c r="F17" s="4">
        <f>AVERAGE(F2:F16)</f>
        <v>49.714285714285715</v>
      </c>
      <c r="G17" s="4">
        <f>AVERAGE(G2:G16)</f>
        <v>56</v>
      </c>
      <c r="H17" s="51">
        <f>AVERAGE(H2:H16)</f>
        <v>14.134599658521058</v>
      </c>
      <c r="I17" s="4"/>
      <c r="J17" s="4">
        <f>AVERAGE(J2:J16)</f>
        <v>10.285714285714286</v>
      </c>
      <c r="K17" s="4">
        <f>AVERAGE(K2:K16)</f>
        <v>10.428571428571429</v>
      </c>
      <c r="L17" s="51">
        <f>AVERAGE(L2:L16)</f>
        <v>7.3569684283970007</v>
      </c>
      <c r="M17" s="4"/>
      <c r="N17" s="4">
        <f>AVERAGE(N2:N16)</f>
        <v>10.785714285714286</v>
      </c>
      <c r="O17" s="4">
        <f>AVERAGE(O2:O16)</f>
        <v>11.928571428571429</v>
      </c>
      <c r="P17" s="51">
        <f>AVERAGE(P2:P16)</f>
        <v>16.381673881673883</v>
      </c>
    </row>
    <row r="18" spans="1:16" s="2" customFormat="1" x14ac:dyDescent="0.25">
      <c r="A18" s="1" t="s">
        <v>153</v>
      </c>
      <c r="B18" s="4">
        <f>STDEV(B2:B16)</f>
        <v>8.8875762156513254</v>
      </c>
      <c r="C18" s="4">
        <f>STDEV(C2:C16)</f>
        <v>6.2691464971077044</v>
      </c>
      <c r="D18" s="4">
        <f>STDEV(D2:D16)</f>
        <v>15.895087498173456</v>
      </c>
      <c r="E18" s="4"/>
      <c r="F18" s="4">
        <f>STDEV(F2:F16)</f>
        <v>8.1280953529061311</v>
      </c>
      <c r="G18" s="4">
        <f>STDEV(G2:G16)</f>
        <v>8.1145643041480575</v>
      </c>
      <c r="H18" s="4">
        <f>STDEV(H2:H16)</f>
        <v>16.802158206704302</v>
      </c>
      <c r="I18" s="4"/>
      <c r="J18" s="4">
        <f>STDEV(J2:J16)</f>
        <v>3.1726856235583867</v>
      </c>
      <c r="K18" s="4">
        <f>STDEV(K2:K16)</f>
        <v>2.8746715053613094</v>
      </c>
      <c r="L18" s="4">
        <f>STDEV(L2:L16)</f>
        <v>34.168309094420067</v>
      </c>
      <c r="M18" s="4"/>
      <c r="N18" s="4">
        <f>STDEV(N2:N16)</f>
        <v>2.8332794651203277</v>
      </c>
      <c r="O18" s="4">
        <f>STDEV(O2:O16)</f>
        <v>2.368520658531418</v>
      </c>
      <c r="P18" s="4">
        <f>STDEV(P2:P16)</f>
        <v>35.121179204024621</v>
      </c>
    </row>
    <row r="19" spans="1:16" s="2" customFormat="1" x14ac:dyDescent="0.25">
      <c r="A19" s="1"/>
      <c r="B19" s="4"/>
      <c r="C19" s="4"/>
      <c r="D19" s="97"/>
      <c r="E19" s="10"/>
    </row>
    <row r="20" spans="1:16" x14ac:dyDescent="0.25">
      <c r="B20" s="4"/>
      <c r="C20" s="33" t="s">
        <v>185</v>
      </c>
      <c r="D20" s="33"/>
      <c r="E20" s="35"/>
      <c r="F20" s="33"/>
      <c r="G20" s="33" t="s">
        <v>185</v>
      </c>
      <c r="H20" s="33"/>
      <c r="I20" s="33"/>
      <c r="J20" s="33"/>
      <c r="K20" s="33" t="s">
        <v>185</v>
      </c>
      <c r="L20" s="33"/>
      <c r="M20" s="33"/>
      <c r="N20" s="33"/>
      <c r="O20" s="33" t="s">
        <v>185</v>
      </c>
      <c r="P20" s="51"/>
    </row>
    <row r="21" spans="1:16" x14ac:dyDescent="0.25">
      <c r="C21" s="35" t="s">
        <v>202</v>
      </c>
      <c r="D21" s="35"/>
      <c r="E21" s="35"/>
      <c r="F21" s="35"/>
      <c r="G21" s="35" t="s">
        <v>203</v>
      </c>
      <c r="H21" s="35"/>
      <c r="I21" s="35"/>
      <c r="J21" s="35"/>
      <c r="K21" s="35" t="s">
        <v>204</v>
      </c>
      <c r="L21" s="35"/>
      <c r="M21" s="35"/>
      <c r="N21" s="35"/>
      <c r="O21" s="35" t="s">
        <v>205</v>
      </c>
    </row>
    <row r="22" spans="1:16" s="2" customFormat="1" x14ac:dyDescent="0.25">
      <c r="A22" s="1" t="s">
        <v>281</v>
      </c>
      <c r="B22" s="2">
        <v>-6.6428570000000002</v>
      </c>
      <c r="C22" s="26">
        <v>7.8407920000000004</v>
      </c>
      <c r="D22" s="35"/>
      <c r="E22" s="26"/>
      <c r="F22" s="26">
        <v>-6.2857139999999996</v>
      </c>
      <c r="G22" s="26">
        <v>6.9329599999999996</v>
      </c>
      <c r="H22" s="26"/>
      <c r="I22" s="26"/>
      <c r="J22" s="26">
        <v>-0.14285700000000001</v>
      </c>
      <c r="K22" s="26">
        <v>2.5071330000000001</v>
      </c>
      <c r="L22" s="26"/>
      <c r="M22" s="26"/>
      <c r="N22" s="26">
        <v>-1.142857</v>
      </c>
      <c r="O22" s="26">
        <v>2.4449990000000001</v>
      </c>
      <c r="P22" s="27"/>
    </row>
    <row r="23" spans="1:16" s="2" customFormat="1" x14ac:dyDescent="0.25">
      <c r="A23" s="1"/>
      <c r="B23" s="50" t="s">
        <v>282</v>
      </c>
      <c r="C23" s="49">
        <f>B22/C22</f>
        <v>-0.84721760250750178</v>
      </c>
      <c r="D23" s="35"/>
      <c r="E23" s="35"/>
      <c r="F23" s="50" t="s">
        <v>282</v>
      </c>
      <c r="G23" s="49">
        <f>F22/G22</f>
        <v>-0.90664218457916967</v>
      </c>
      <c r="H23" s="35"/>
      <c r="I23" s="35"/>
      <c r="J23" s="50" t="s">
        <v>282</v>
      </c>
      <c r="K23" s="49">
        <f>J22/K22</f>
        <v>-5.6980224024812412E-2</v>
      </c>
      <c r="L23" s="35"/>
      <c r="M23" s="35"/>
      <c r="N23" s="50" t="s">
        <v>282</v>
      </c>
      <c r="O23" s="49">
        <f>N22/O22</f>
        <v>-0.46742636704554885</v>
      </c>
    </row>
    <row r="24" spans="1:16" s="2" customFormat="1" x14ac:dyDescent="0.25">
      <c r="A24" s="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6" s="2" customFormat="1" x14ac:dyDescent="0.25">
      <c r="A25" s="189"/>
      <c r="B25" s="192" t="s">
        <v>447</v>
      </c>
      <c r="C25" s="192"/>
      <c r="D25" s="192">
        <f>(C17-B17)/B17*100</f>
        <v>11.20481927710844</v>
      </c>
      <c r="E25" s="192"/>
      <c r="F25" s="192"/>
      <c r="G25" s="192"/>
      <c r="H25" s="192">
        <f>(G17-F17)/F17*100</f>
        <v>12.643678160919539</v>
      </c>
      <c r="I25" s="192"/>
      <c r="J25" s="192"/>
      <c r="K25" s="192"/>
      <c r="L25" s="192">
        <f>(K17-J17)/J17*100</f>
        <v>1.3888888888888837</v>
      </c>
      <c r="M25" s="192"/>
      <c r="N25" s="192"/>
      <c r="O25" s="192"/>
      <c r="P25" s="193">
        <f>(O17-N17)/N17*100</f>
        <v>10.596026490066219</v>
      </c>
    </row>
    <row r="26" spans="1:16" x14ac:dyDescent="0.25">
      <c r="B26" t="s">
        <v>198</v>
      </c>
    </row>
    <row r="27" spans="1:16" x14ac:dyDescent="0.25">
      <c r="B27" t="s">
        <v>199</v>
      </c>
    </row>
    <row r="28" spans="1:16" x14ac:dyDescent="0.25">
      <c r="B28" t="s">
        <v>200</v>
      </c>
    </row>
    <row r="29" spans="1:16" x14ac:dyDescent="0.25">
      <c r="B29" t="s">
        <v>201</v>
      </c>
    </row>
    <row r="34" spans="1:6" x14ac:dyDescent="0.25">
      <c r="A34" s="13"/>
      <c r="B34" s="4"/>
      <c r="C34" s="4"/>
      <c r="D34" s="4"/>
      <c r="E34" s="4"/>
      <c r="F34" s="4"/>
    </row>
    <row r="35" spans="1:6" x14ac:dyDescent="0.25">
      <c r="A35" s="13"/>
      <c r="B35" s="4"/>
      <c r="C35" s="4"/>
      <c r="D35" s="4"/>
      <c r="E35" s="4"/>
      <c r="F35" s="4"/>
    </row>
    <row r="36" spans="1:6" x14ac:dyDescent="0.25">
      <c r="A36" s="13"/>
      <c r="B36" s="4"/>
      <c r="C36" s="4"/>
      <c r="D36" s="4"/>
      <c r="E36" s="4"/>
      <c r="F36" s="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Y32"/>
  <sheetViews>
    <sheetView topLeftCell="E1" workbookViewId="0">
      <selection activeCell="T24" sqref="T24"/>
    </sheetView>
  </sheetViews>
  <sheetFormatPr defaultRowHeight="15" x14ac:dyDescent="0.25"/>
  <sheetData>
    <row r="1" spans="1:25" s="66" customFormat="1" x14ac:dyDescent="0.25">
      <c r="B1" s="66" t="s">
        <v>85</v>
      </c>
      <c r="C1" s="66" t="s">
        <v>86</v>
      </c>
      <c r="D1" s="66" t="s">
        <v>23</v>
      </c>
      <c r="F1" s="66" t="s">
        <v>87</v>
      </c>
      <c r="G1" s="66" t="s">
        <v>88</v>
      </c>
      <c r="H1" s="66" t="s">
        <v>23</v>
      </c>
      <c r="J1" s="66" t="s">
        <v>89</v>
      </c>
      <c r="K1" s="66" t="s">
        <v>90</v>
      </c>
      <c r="L1" s="66" t="s">
        <v>23</v>
      </c>
      <c r="N1" s="66" t="s">
        <v>91</v>
      </c>
      <c r="O1" s="66" t="s">
        <v>92</v>
      </c>
      <c r="P1" s="66" t="s">
        <v>23</v>
      </c>
      <c r="R1" s="66" t="s">
        <v>93</v>
      </c>
      <c r="S1" s="66" t="s">
        <v>94</v>
      </c>
      <c r="T1" s="66" t="s">
        <v>23</v>
      </c>
      <c r="V1" s="52" t="s">
        <v>95</v>
      </c>
      <c r="W1" s="52" t="s">
        <v>96</v>
      </c>
      <c r="X1" s="52" t="s">
        <v>23</v>
      </c>
    </row>
    <row r="2" spans="1:25" x14ac:dyDescent="0.25">
      <c r="A2" s="82" t="s">
        <v>11</v>
      </c>
      <c r="B2" s="4">
        <v>44</v>
      </c>
      <c r="C2" s="7">
        <v>49</v>
      </c>
      <c r="D2">
        <f>(C2-B2)/B2*100</f>
        <v>11.363636363636363</v>
      </c>
      <c r="E2" s="82"/>
      <c r="F2" s="4">
        <v>64</v>
      </c>
      <c r="G2" s="7">
        <v>79</v>
      </c>
      <c r="H2">
        <f>(G2-F2)/F2*100</f>
        <v>23.4375</v>
      </c>
      <c r="J2" s="4">
        <v>30</v>
      </c>
      <c r="K2" s="7">
        <v>53</v>
      </c>
      <c r="L2">
        <f>(K2-J2)/J2*100</f>
        <v>76.666666666666671</v>
      </c>
      <c r="N2" s="4">
        <v>35</v>
      </c>
      <c r="O2" s="7">
        <v>40</v>
      </c>
      <c r="P2">
        <f>(O2-N2)/N2*100</f>
        <v>14.285714285714285</v>
      </c>
      <c r="R2" s="4">
        <v>53</v>
      </c>
      <c r="S2" s="7">
        <v>46</v>
      </c>
      <c r="T2">
        <f>(S2-R2)/R2*100</f>
        <v>-13.20754716981132</v>
      </c>
      <c r="V2" s="52">
        <v>43</v>
      </c>
      <c r="W2" s="53">
        <v>54</v>
      </c>
      <c r="X2" s="4">
        <f>(W2-V2)/V2*100</f>
        <v>25.581395348837212</v>
      </c>
    </row>
    <row r="3" spans="1:25" x14ac:dyDescent="0.25">
      <c r="A3" s="82" t="s">
        <v>10</v>
      </c>
      <c r="B3" s="4">
        <v>54</v>
      </c>
      <c r="C3" s="7">
        <v>38</v>
      </c>
      <c r="D3">
        <f t="shared" ref="D3:D15" si="0">(C3-B3)/B3*100</f>
        <v>-29.629629629629626</v>
      </c>
      <c r="E3" s="82"/>
      <c r="F3" s="4">
        <v>44</v>
      </c>
      <c r="G3" s="7">
        <v>52</v>
      </c>
      <c r="H3">
        <f t="shared" ref="H3:H15" si="1">(G3-F3)/F3*100</f>
        <v>18.181818181818183</v>
      </c>
      <c r="J3" s="4">
        <v>45</v>
      </c>
      <c r="K3" s="7">
        <v>54</v>
      </c>
      <c r="L3">
        <f t="shared" ref="L3:L15" si="2">(K3-J3)/J3*100</f>
        <v>20</v>
      </c>
      <c r="N3" s="4">
        <v>61</v>
      </c>
      <c r="O3" s="7">
        <v>70</v>
      </c>
      <c r="P3">
        <f t="shared" ref="P3:P15" si="3">(O3-N3)/N3*100</f>
        <v>14.754098360655737</v>
      </c>
      <c r="R3" s="4">
        <v>46</v>
      </c>
      <c r="S3" s="7">
        <v>46</v>
      </c>
      <c r="T3">
        <f t="shared" ref="T3:T15" si="4">(S3-R3)/R3*100</f>
        <v>0</v>
      </c>
      <c r="V3" s="4">
        <v>50</v>
      </c>
      <c r="W3" s="7">
        <v>52</v>
      </c>
      <c r="X3" s="4">
        <f t="shared" ref="X3:X15" si="5">(W3-V3)/V3*100</f>
        <v>4</v>
      </c>
    </row>
    <row r="4" spans="1:25" x14ac:dyDescent="0.25">
      <c r="A4" s="82" t="s">
        <v>12</v>
      </c>
      <c r="B4" s="4">
        <v>49</v>
      </c>
      <c r="C4" s="7">
        <v>57</v>
      </c>
      <c r="D4">
        <f t="shared" si="0"/>
        <v>16.326530612244898</v>
      </c>
      <c r="E4" s="82"/>
      <c r="F4" s="4">
        <v>50</v>
      </c>
      <c r="G4" s="7">
        <v>55</v>
      </c>
      <c r="H4">
        <f t="shared" si="1"/>
        <v>10</v>
      </c>
      <c r="J4" s="4">
        <v>58</v>
      </c>
      <c r="K4" s="7">
        <v>71</v>
      </c>
      <c r="L4">
        <f t="shared" si="2"/>
        <v>22.413793103448278</v>
      </c>
      <c r="N4" s="4">
        <v>65</v>
      </c>
      <c r="O4" s="7">
        <v>57</v>
      </c>
      <c r="P4">
        <f t="shared" si="3"/>
        <v>-12.307692307692308</v>
      </c>
      <c r="R4" s="4">
        <v>51</v>
      </c>
      <c r="S4" s="7">
        <v>51</v>
      </c>
      <c r="T4">
        <f t="shared" si="4"/>
        <v>0</v>
      </c>
      <c r="V4" s="4">
        <v>56</v>
      </c>
      <c r="W4" s="7">
        <v>61</v>
      </c>
      <c r="X4" s="4">
        <f t="shared" si="5"/>
        <v>8.9285714285714288</v>
      </c>
    </row>
    <row r="5" spans="1:25" s="27" customFormat="1" x14ac:dyDescent="0.25">
      <c r="A5" s="30" t="s">
        <v>13</v>
      </c>
      <c r="B5" s="27">
        <v>39</v>
      </c>
      <c r="C5" s="31">
        <v>43</v>
      </c>
      <c r="D5" s="27">
        <f t="shared" si="0"/>
        <v>10.256410256410255</v>
      </c>
      <c r="E5" s="30"/>
      <c r="F5" s="27">
        <v>66</v>
      </c>
      <c r="G5" s="31">
        <v>76</v>
      </c>
      <c r="H5" s="27">
        <f t="shared" si="1"/>
        <v>15.151515151515152</v>
      </c>
      <c r="J5" s="27">
        <v>42</v>
      </c>
      <c r="K5" s="31">
        <v>46</v>
      </c>
      <c r="L5" s="27">
        <f t="shared" si="2"/>
        <v>9.5238095238095237</v>
      </c>
      <c r="N5" s="27">
        <v>38</v>
      </c>
      <c r="O5" s="31">
        <v>58</v>
      </c>
      <c r="P5" s="27">
        <f t="shared" si="3"/>
        <v>52.631578947368418</v>
      </c>
      <c r="R5" s="27">
        <v>45</v>
      </c>
      <c r="S5" s="31">
        <v>52</v>
      </c>
      <c r="T5" s="27">
        <f t="shared" si="4"/>
        <v>15.555555555555555</v>
      </c>
      <c r="V5" s="41">
        <v>44</v>
      </c>
      <c r="W5" s="31">
        <v>57</v>
      </c>
      <c r="X5" s="41">
        <f t="shared" si="5"/>
        <v>29.545454545454547</v>
      </c>
    </row>
    <row r="6" spans="1:25" s="27" customFormat="1" x14ac:dyDescent="0.25">
      <c r="A6" s="30" t="s">
        <v>14</v>
      </c>
      <c r="B6" s="27">
        <v>50</v>
      </c>
      <c r="C6" s="31">
        <v>43</v>
      </c>
      <c r="D6" s="27">
        <f t="shared" si="0"/>
        <v>-14.000000000000002</v>
      </c>
      <c r="E6" s="30"/>
      <c r="F6" s="27">
        <v>50</v>
      </c>
      <c r="G6" s="31">
        <v>43</v>
      </c>
      <c r="H6" s="27">
        <f t="shared" si="1"/>
        <v>-14.000000000000002</v>
      </c>
      <c r="J6" s="27">
        <v>62</v>
      </c>
      <c r="K6" s="31">
        <v>62</v>
      </c>
      <c r="L6" s="27">
        <f t="shared" si="2"/>
        <v>0</v>
      </c>
      <c r="N6" s="27">
        <v>35</v>
      </c>
      <c r="O6" s="31">
        <v>47</v>
      </c>
      <c r="P6" s="27">
        <f t="shared" si="3"/>
        <v>34.285714285714285</v>
      </c>
      <c r="R6" s="27">
        <v>58</v>
      </c>
      <c r="S6" s="31">
        <v>62</v>
      </c>
      <c r="T6" s="27">
        <f t="shared" si="4"/>
        <v>6.8965517241379306</v>
      </c>
      <c r="V6" s="41">
        <v>51</v>
      </c>
      <c r="W6" s="31">
        <v>53</v>
      </c>
      <c r="X6" s="41">
        <f t="shared" si="5"/>
        <v>3.9215686274509802</v>
      </c>
    </row>
    <row r="7" spans="1:25" s="27" customFormat="1" x14ac:dyDescent="0.25">
      <c r="A7" s="30" t="s">
        <v>15</v>
      </c>
      <c r="B7" s="27">
        <v>46</v>
      </c>
      <c r="C7" s="31">
        <v>57</v>
      </c>
      <c r="D7" s="27">
        <f t="shared" si="0"/>
        <v>23.913043478260871</v>
      </c>
      <c r="E7" s="30"/>
      <c r="F7" s="27">
        <v>43</v>
      </c>
      <c r="G7" s="31">
        <v>50</v>
      </c>
      <c r="H7" s="27">
        <f t="shared" si="1"/>
        <v>16.279069767441861</v>
      </c>
      <c r="J7" s="27">
        <v>51</v>
      </c>
      <c r="K7" s="31">
        <v>51</v>
      </c>
      <c r="L7" s="27">
        <f t="shared" si="2"/>
        <v>0</v>
      </c>
      <c r="N7" s="27">
        <v>48</v>
      </c>
      <c r="O7" s="31">
        <v>48</v>
      </c>
      <c r="P7" s="27">
        <f t="shared" si="3"/>
        <v>0</v>
      </c>
      <c r="R7" s="27">
        <v>41</v>
      </c>
      <c r="S7" s="31">
        <v>50</v>
      </c>
      <c r="T7" s="27">
        <f t="shared" si="4"/>
        <v>21.951219512195124</v>
      </c>
      <c r="V7" s="41">
        <v>43</v>
      </c>
      <c r="W7" s="31">
        <v>52</v>
      </c>
      <c r="X7" s="41">
        <f t="shared" si="5"/>
        <v>20.930232558139537</v>
      </c>
    </row>
    <row r="8" spans="1:25" s="27" customFormat="1" x14ac:dyDescent="0.25">
      <c r="A8" s="30" t="s">
        <v>16</v>
      </c>
      <c r="B8" s="27">
        <v>55</v>
      </c>
      <c r="C8" s="31">
        <v>55</v>
      </c>
      <c r="D8" s="27">
        <f t="shared" si="0"/>
        <v>0</v>
      </c>
      <c r="E8" s="30"/>
      <c r="F8" s="27">
        <v>55</v>
      </c>
      <c r="G8" s="31">
        <v>55</v>
      </c>
      <c r="H8" s="27">
        <f t="shared" si="1"/>
        <v>0</v>
      </c>
      <c r="J8" s="27">
        <v>48</v>
      </c>
      <c r="K8" s="31">
        <v>44</v>
      </c>
      <c r="L8" s="27">
        <f t="shared" si="2"/>
        <v>-8.3333333333333321</v>
      </c>
      <c r="N8" s="27">
        <v>48</v>
      </c>
      <c r="O8" s="31">
        <v>44</v>
      </c>
      <c r="P8" s="27">
        <f t="shared" si="3"/>
        <v>-8.3333333333333321</v>
      </c>
      <c r="R8" s="27">
        <v>78</v>
      </c>
      <c r="S8" s="31">
        <v>69</v>
      </c>
      <c r="T8" s="27">
        <f t="shared" si="4"/>
        <v>-11.538461538461538</v>
      </c>
      <c r="V8" s="41">
        <v>62</v>
      </c>
      <c r="W8" s="31">
        <v>63</v>
      </c>
      <c r="X8" s="41">
        <f t="shared" si="5"/>
        <v>1.6129032258064515</v>
      </c>
    </row>
    <row r="9" spans="1:25" s="27" customFormat="1" x14ac:dyDescent="0.25">
      <c r="A9" s="30" t="s">
        <v>112</v>
      </c>
      <c r="B9" s="27">
        <v>68</v>
      </c>
      <c r="C9" s="31">
        <v>73</v>
      </c>
      <c r="D9" s="27">
        <f t="shared" si="0"/>
        <v>7.3529411764705888</v>
      </c>
      <c r="E9" s="30"/>
      <c r="F9" s="27">
        <v>47</v>
      </c>
      <c r="G9" s="31">
        <v>47</v>
      </c>
      <c r="H9" s="27">
        <f t="shared" si="1"/>
        <v>0</v>
      </c>
      <c r="J9" s="27">
        <v>81</v>
      </c>
      <c r="K9" s="31">
        <v>81</v>
      </c>
      <c r="L9" s="27">
        <f t="shared" si="2"/>
        <v>0</v>
      </c>
      <c r="N9" s="27">
        <v>73</v>
      </c>
      <c r="O9" s="31">
        <v>57</v>
      </c>
      <c r="P9" s="27">
        <f t="shared" si="3"/>
        <v>-21.917808219178081</v>
      </c>
      <c r="R9" s="27">
        <v>69</v>
      </c>
      <c r="S9" s="31">
        <v>56</v>
      </c>
      <c r="T9" s="27">
        <f t="shared" si="4"/>
        <v>-18.840579710144929</v>
      </c>
      <c r="V9" s="41">
        <v>76</v>
      </c>
      <c r="W9" s="31">
        <v>69</v>
      </c>
      <c r="X9" s="41">
        <f t="shared" si="5"/>
        <v>-9.2105263157894726</v>
      </c>
    </row>
    <row r="10" spans="1:25" s="27" customFormat="1" x14ac:dyDescent="0.25">
      <c r="A10" s="30" t="s">
        <v>113</v>
      </c>
      <c r="B10" s="27">
        <v>46</v>
      </c>
      <c r="C10" s="31">
        <v>46</v>
      </c>
      <c r="D10" s="27">
        <f t="shared" si="0"/>
        <v>0</v>
      </c>
      <c r="E10" s="30"/>
      <c r="F10" s="27">
        <v>52</v>
      </c>
      <c r="G10" s="31">
        <v>42</v>
      </c>
      <c r="H10" s="27">
        <f t="shared" si="1"/>
        <v>-19.230769230769234</v>
      </c>
      <c r="J10" s="27">
        <v>50</v>
      </c>
      <c r="K10" s="31">
        <v>60</v>
      </c>
      <c r="L10" s="27">
        <f t="shared" si="2"/>
        <v>20</v>
      </c>
      <c r="N10" s="27">
        <v>57</v>
      </c>
      <c r="O10" s="31">
        <v>66</v>
      </c>
      <c r="P10" s="27">
        <f t="shared" si="3"/>
        <v>15.789473684210526</v>
      </c>
      <c r="R10" s="27">
        <v>52</v>
      </c>
      <c r="S10" s="31">
        <v>57</v>
      </c>
      <c r="T10" s="27">
        <f t="shared" si="4"/>
        <v>9.6153846153846168</v>
      </c>
      <c r="V10" s="41">
        <v>52</v>
      </c>
      <c r="W10" s="31">
        <v>56</v>
      </c>
      <c r="X10" s="41">
        <f t="shared" si="5"/>
        <v>7.6923076923076925</v>
      </c>
    </row>
    <row r="11" spans="1:25" s="27" customFormat="1" x14ac:dyDescent="0.25">
      <c r="A11" s="30" t="s">
        <v>114</v>
      </c>
      <c r="B11" s="27">
        <v>40</v>
      </c>
      <c r="C11" s="31">
        <v>52</v>
      </c>
      <c r="D11" s="27">
        <f t="shared" si="0"/>
        <v>30</v>
      </c>
      <c r="E11" s="30"/>
      <c r="F11" s="27">
        <v>63</v>
      </c>
      <c r="G11" s="31">
        <v>71</v>
      </c>
      <c r="H11" s="27">
        <f t="shared" si="1"/>
        <v>12.698412698412698</v>
      </c>
      <c r="J11" s="27">
        <v>56</v>
      </c>
      <c r="K11" s="31">
        <v>60</v>
      </c>
      <c r="L11" s="27">
        <f t="shared" si="2"/>
        <v>7.1428571428571423</v>
      </c>
      <c r="N11" s="27">
        <v>49</v>
      </c>
      <c r="O11" s="31">
        <v>62</v>
      </c>
      <c r="P11" s="27">
        <f t="shared" si="3"/>
        <v>26.530612244897959</v>
      </c>
      <c r="R11" s="27">
        <v>56</v>
      </c>
      <c r="S11" s="31">
        <v>60</v>
      </c>
      <c r="T11" s="27">
        <f t="shared" si="4"/>
        <v>7.1428571428571423</v>
      </c>
      <c r="V11" s="41">
        <v>54</v>
      </c>
      <c r="W11" s="31">
        <v>66</v>
      </c>
      <c r="X11" s="41">
        <f t="shared" si="5"/>
        <v>22.222222222222221</v>
      </c>
    </row>
    <row r="12" spans="1:25" s="27" customFormat="1" x14ac:dyDescent="0.25">
      <c r="A12" s="30" t="s">
        <v>115</v>
      </c>
      <c r="B12" s="27">
        <v>35</v>
      </c>
      <c r="C12" s="31">
        <v>39</v>
      </c>
      <c r="D12" s="27">
        <f t="shared" si="0"/>
        <v>11.428571428571429</v>
      </c>
      <c r="E12" s="30"/>
      <c r="F12" s="27">
        <v>47</v>
      </c>
      <c r="G12" s="31">
        <v>54</v>
      </c>
      <c r="H12" s="27">
        <f t="shared" si="1"/>
        <v>14.893617021276595</v>
      </c>
      <c r="J12" s="27">
        <v>34</v>
      </c>
      <c r="K12" s="31">
        <v>34</v>
      </c>
      <c r="L12" s="27">
        <f t="shared" si="2"/>
        <v>0</v>
      </c>
      <c r="N12" s="27">
        <v>41</v>
      </c>
      <c r="O12" s="31">
        <v>45</v>
      </c>
      <c r="P12" s="27">
        <f t="shared" si="3"/>
        <v>9.7560975609756095</v>
      </c>
      <c r="R12" s="27">
        <v>43</v>
      </c>
      <c r="S12" s="31">
        <v>48</v>
      </c>
      <c r="T12" s="27">
        <f t="shared" si="4"/>
        <v>11.627906976744185</v>
      </c>
      <c r="V12" s="41">
        <v>34</v>
      </c>
      <c r="W12" s="31">
        <v>40</v>
      </c>
      <c r="X12" s="41">
        <f t="shared" si="5"/>
        <v>17.647058823529413</v>
      </c>
    </row>
    <row r="13" spans="1:25" s="27" customFormat="1" x14ac:dyDescent="0.25">
      <c r="A13" s="30" t="s">
        <v>117</v>
      </c>
      <c r="B13" s="27">
        <v>45</v>
      </c>
      <c r="C13" s="31">
        <v>42</v>
      </c>
      <c r="D13" s="27">
        <f t="shared" si="0"/>
        <v>-6.666666666666667</v>
      </c>
      <c r="E13" s="30"/>
      <c r="F13" s="27">
        <v>57</v>
      </c>
      <c r="G13" s="31">
        <v>54</v>
      </c>
      <c r="H13" s="27">
        <f t="shared" si="1"/>
        <v>-5.2631578947368416</v>
      </c>
      <c r="J13" s="27">
        <v>53</v>
      </c>
      <c r="K13" s="31">
        <v>54</v>
      </c>
      <c r="L13" s="27">
        <f t="shared" si="2"/>
        <v>1.8867924528301887</v>
      </c>
      <c r="N13" s="27">
        <v>40</v>
      </c>
      <c r="O13" s="31">
        <v>48</v>
      </c>
      <c r="P13" s="27">
        <f t="shared" si="3"/>
        <v>20</v>
      </c>
      <c r="R13" s="27">
        <v>49</v>
      </c>
      <c r="S13" s="31">
        <v>49</v>
      </c>
      <c r="T13" s="27">
        <f t="shared" si="4"/>
        <v>0</v>
      </c>
      <c r="V13" s="41">
        <v>48</v>
      </c>
      <c r="W13" s="31">
        <v>49</v>
      </c>
      <c r="X13" s="41">
        <f t="shared" si="5"/>
        <v>2.083333333333333</v>
      </c>
    </row>
    <row r="14" spans="1:25" s="27" customFormat="1" x14ac:dyDescent="0.25">
      <c r="A14" s="30" t="s">
        <v>121</v>
      </c>
      <c r="B14" s="27">
        <v>42</v>
      </c>
      <c r="C14" s="31">
        <v>42</v>
      </c>
      <c r="D14" s="27">
        <f t="shared" si="0"/>
        <v>0</v>
      </c>
      <c r="E14" s="30"/>
      <c r="F14" s="27">
        <v>56</v>
      </c>
      <c r="G14" s="31">
        <v>59</v>
      </c>
      <c r="H14" s="27">
        <f t="shared" si="1"/>
        <v>5.3571428571428568</v>
      </c>
      <c r="J14" s="27">
        <v>48</v>
      </c>
      <c r="K14" s="31">
        <v>53</v>
      </c>
      <c r="L14" s="27">
        <f t="shared" si="2"/>
        <v>10.416666666666668</v>
      </c>
      <c r="N14" s="27">
        <v>67</v>
      </c>
      <c r="O14" s="31">
        <v>62</v>
      </c>
      <c r="P14" s="27">
        <f t="shared" si="3"/>
        <v>-7.4626865671641784</v>
      </c>
      <c r="R14" s="27">
        <v>55</v>
      </c>
      <c r="S14" s="31">
        <v>50</v>
      </c>
      <c r="T14" s="27">
        <f t="shared" si="4"/>
        <v>-9.0909090909090917</v>
      </c>
      <c r="V14" s="41">
        <v>55</v>
      </c>
      <c r="W14" s="31">
        <v>55</v>
      </c>
      <c r="X14" s="41">
        <f t="shared" si="5"/>
        <v>0</v>
      </c>
    </row>
    <row r="15" spans="1:25" s="27" customFormat="1" x14ac:dyDescent="0.25">
      <c r="A15" s="30" t="s">
        <v>122</v>
      </c>
      <c r="B15" s="27">
        <v>40</v>
      </c>
      <c r="C15" s="31">
        <v>43</v>
      </c>
      <c r="D15" s="27">
        <f t="shared" si="0"/>
        <v>7.5</v>
      </c>
      <c r="E15" s="30"/>
      <c r="F15" s="27">
        <v>54</v>
      </c>
      <c r="G15" s="31">
        <v>54</v>
      </c>
      <c r="H15" s="27">
        <f t="shared" si="1"/>
        <v>0</v>
      </c>
      <c r="J15" s="27">
        <v>44</v>
      </c>
      <c r="K15" s="31">
        <v>44</v>
      </c>
      <c r="L15" s="27">
        <f t="shared" si="2"/>
        <v>0</v>
      </c>
      <c r="N15" s="27">
        <v>49</v>
      </c>
      <c r="O15" s="31">
        <v>42</v>
      </c>
      <c r="P15" s="27">
        <f t="shared" si="3"/>
        <v>-14.285714285714285</v>
      </c>
      <c r="R15" s="27">
        <v>53</v>
      </c>
      <c r="S15" s="31">
        <v>35</v>
      </c>
      <c r="T15" s="27">
        <f t="shared" si="4"/>
        <v>-33.962264150943398</v>
      </c>
      <c r="V15" s="41">
        <v>47</v>
      </c>
      <c r="W15" s="31">
        <v>40</v>
      </c>
      <c r="X15" s="41">
        <f t="shared" si="5"/>
        <v>-14.893617021276595</v>
      </c>
    </row>
    <row r="16" spans="1:25" s="66" customFormat="1" x14ac:dyDescent="0.25">
      <c r="A16" s="98" t="s">
        <v>123</v>
      </c>
      <c r="C16" s="58" t="s">
        <v>148</v>
      </c>
      <c r="D16" s="69" t="s">
        <v>151</v>
      </c>
      <c r="E16" s="2"/>
      <c r="G16" s="58" t="s">
        <v>148</v>
      </c>
      <c r="H16" s="69" t="s">
        <v>151</v>
      </c>
      <c r="I16" s="2"/>
      <c r="K16" s="58" t="s">
        <v>148</v>
      </c>
      <c r="L16" s="69" t="s">
        <v>151</v>
      </c>
      <c r="M16" s="2"/>
      <c r="O16" s="58" t="s">
        <v>148</v>
      </c>
      <c r="P16" s="69" t="s">
        <v>151</v>
      </c>
      <c r="Q16" s="2"/>
      <c r="S16" s="58" t="s">
        <v>148</v>
      </c>
      <c r="T16" s="69" t="s">
        <v>151</v>
      </c>
      <c r="U16" s="2"/>
      <c r="W16" s="58" t="s">
        <v>148</v>
      </c>
      <c r="X16" s="69" t="s">
        <v>151</v>
      </c>
      <c r="Y16" s="2"/>
    </row>
    <row r="17" spans="1:24" x14ac:dyDescent="0.25">
      <c r="A17" s="95" t="s">
        <v>17</v>
      </c>
      <c r="B17" s="2">
        <f>AVERAGE(B2:B16)</f>
        <v>46.642857142857146</v>
      </c>
      <c r="C17" s="2">
        <f t="shared" ref="C17:X17" si="6">AVERAGE(C2:C16)</f>
        <v>48.5</v>
      </c>
      <c r="D17" s="50">
        <f t="shared" si="6"/>
        <v>4.8460597870927211</v>
      </c>
      <c r="E17" s="2"/>
      <c r="F17" s="2">
        <f t="shared" si="6"/>
        <v>53.428571428571431</v>
      </c>
      <c r="G17" s="2">
        <f t="shared" si="6"/>
        <v>56.5</v>
      </c>
      <c r="H17" s="50">
        <f t="shared" si="6"/>
        <v>5.5360820394358052</v>
      </c>
      <c r="I17" s="2"/>
      <c r="J17" s="2">
        <f t="shared" si="6"/>
        <v>50.142857142857146</v>
      </c>
      <c r="K17" s="2">
        <f t="shared" si="6"/>
        <v>54.785714285714285</v>
      </c>
      <c r="L17" s="50">
        <f t="shared" si="6"/>
        <v>11.408375158781794</v>
      </c>
      <c r="M17" s="2"/>
      <c r="N17" s="2">
        <f t="shared" si="6"/>
        <v>50.428571428571431</v>
      </c>
      <c r="O17" s="2">
        <f t="shared" si="6"/>
        <v>53.285714285714285</v>
      </c>
      <c r="P17" s="50">
        <f t="shared" si="6"/>
        <v>8.8375753326039028</v>
      </c>
      <c r="Q17" s="2"/>
      <c r="R17" s="2">
        <f t="shared" si="6"/>
        <v>53.5</v>
      </c>
      <c r="S17" s="2">
        <f t="shared" si="6"/>
        <v>52.214285714285715</v>
      </c>
      <c r="T17" s="50">
        <f t="shared" si="6"/>
        <v>-0.98930615238540909</v>
      </c>
      <c r="U17" s="2"/>
      <c r="V17" s="2">
        <f t="shared" si="6"/>
        <v>51.071428571428569</v>
      </c>
      <c r="W17" s="2">
        <f t="shared" si="6"/>
        <v>54.785714285714285</v>
      </c>
      <c r="X17" s="50">
        <f t="shared" si="6"/>
        <v>8.575778890613341</v>
      </c>
    </row>
    <row r="18" spans="1:24" s="2" customFormat="1" x14ac:dyDescent="0.25">
      <c r="A18" s="95" t="s">
        <v>153</v>
      </c>
      <c r="B18" s="2">
        <f>STDEV(B2:B16)</f>
        <v>8.3721805160547405</v>
      </c>
      <c r="C18" s="2">
        <f t="shared" ref="C18:X18" si="7">STDEV(C2:C16)</f>
        <v>9.5333422987226992</v>
      </c>
      <c r="D18" s="2">
        <f t="shared" si="7"/>
        <v>15.199247658034581</v>
      </c>
      <c r="F18" s="2">
        <f t="shared" si="7"/>
        <v>7.2823737224182006</v>
      </c>
      <c r="G18" s="2">
        <f t="shared" si="7"/>
        <v>11.339176472606953</v>
      </c>
      <c r="H18" s="2">
        <f t="shared" si="7"/>
        <v>12.559668021466946</v>
      </c>
      <c r="J18" s="2">
        <f t="shared" si="7"/>
        <v>12.414985627533682</v>
      </c>
      <c r="K18" s="2">
        <f t="shared" si="7"/>
        <v>11.83332043542609</v>
      </c>
      <c r="L18" s="2">
        <f t="shared" si="7"/>
        <v>20.905053303394315</v>
      </c>
      <c r="N18" s="2">
        <f t="shared" si="7"/>
        <v>12.389289951183867</v>
      </c>
      <c r="O18" s="2">
        <f t="shared" si="7"/>
        <v>9.595099481815403</v>
      </c>
      <c r="P18" s="2">
        <f t="shared" si="7"/>
        <v>20.908904450082623</v>
      </c>
      <c r="R18" s="2">
        <f t="shared" si="7"/>
        <v>9.9749686716300019</v>
      </c>
      <c r="S18" s="2">
        <f t="shared" si="7"/>
        <v>8.2665086242720989</v>
      </c>
      <c r="T18" s="2">
        <f t="shared" si="7"/>
        <v>15.025615831046023</v>
      </c>
      <c r="V18" s="2">
        <f t="shared" si="7"/>
        <v>9.957326531170489</v>
      </c>
      <c r="W18" s="2">
        <f t="shared" si="7"/>
        <v>8.4596651272928192</v>
      </c>
      <c r="X18" s="2">
        <f t="shared" si="7"/>
        <v>13.082317561638067</v>
      </c>
    </row>
    <row r="19" spans="1:24" s="4" customFormat="1" x14ac:dyDescent="0.25">
      <c r="A19" s="13"/>
      <c r="B19" s="51"/>
      <c r="C19" s="51"/>
      <c r="D19" s="51"/>
      <c r="F19" s="51"/>
      <c r="G19" s="51"/>
      <c r="H19" s="51"/>
      <c r="J19" s="51"/>
      <c r="K19" s="51"/>
      <c r="L19" s="51"/>
      <c r="N19" s="51"/>
      <c r="O19" s="51"/>
      <c r="P19" s="51"/>
      <c r="R19" s="51"/>
      <c r="S19" s="51"/>
      <c r="T19" s="51"/>
      <c r="V19" s="51"/>
      <c r="W19" s="51"/>
      <c r="X19" s="51"/>
    </row>
    <row r="20" spans="1:24" x14ac:dyDescent="0.25">
      <c r="C20" s="35" t="s">
        <v>185</v>
      </c>
      <c r="D20" s="35"/>
      <c r="E20" s="35"/>
      <c r="F20" s="35"/>
      <c r="G20" s="35" t="s">
        <v>185</v>
      </c>
      <c r="H20" s="35"/>
      <c r="I20" s="35"/>
      <c r="J20" s="35"/>
      <c r="K20" s="35" t="s">
        <v>185</v>
      </c>
      <c r="L20" s="35"/>
      <c r="M20" s="35"/>
      <c r="N20" s="35"/>
      <c r="O20" s="35" t="s">
        <v>185</v>
      </c>
      <c r="P20" s="35"/>
      <c r="Q20" s="35"/>
      <c r="R20" s="35"/>
      <c r="S20" s="35" t="s">
        <v>185</v>
      </c>
      <c r="T20" s="35"/>
      <c r="U20" s="35"/>
      <c r="V20" s="35"/>
      <c r="W20" s="35" t="s">
        <v>185</v>
      </c>
    </row>
    <row r="21" spans="1:24" s="2" customFormat="1" x14ac:dyDescent="0.25">
      <c r="C21" s="35" t="s">
        <v>206</v>
      </c>
      <c r="D21" s="35"/>
      <c r="E21" s="35"/>
      <c r="F21" s="35"/>
      <c r="G21" s="35" t="s">
        <v>207</v>
      </c>
      <c r="H21" s="35"/>
      <c r="I21" s="35"/>
      <c r="J21" s="35"/>
      <c r="K21" s="35" t="s">
        <v>211</v>
      </c>
      <c r="L21" s="35"/>
      <c r="M21" s="35"/>
      <c r="N21" s="35"/>
      <c r="O21" s="35" t="s">
        <v>208</v>
      </c>
      <c r="P21" s="35"/>
      <c r="Q21" s="35"/>
      <c r="R21" s="35"/>
      <c r="S21" s="35" t="s">
        <v>209</v>
      </c>
      <c r="T21" s="35"/>
      <c r="U21" s="35"/>
      <c r="V21" s="35"/>
      <c r="W21" s="35" t="s">
        <v>210</v>
      </c>
    </row>
    <row r="22" spans="1:24" s="2" customFormat="1" x14ac:dyDescent="0.25">
      <c r="A22" s="2" t="s">
        <v>281</v>
      </c>
      <c r="B22" s="2">
        <v>-1.857143</v>
      </c>
      <c r="C22" s="26">
        <v>7.2627300000000004</v>
      </c>
      <c r="D22" s="26"/>
      <c r="E22" s="26"/>
      <c r="F22" s="26">
        <v>-3.0714290000000002</v>
      </c>
      <c r="G22" s="26">
        <v>6.8552540000000004</v>
      </c>
      <c r="H22" s="26"/>
      <c r="I22" s="26"/>
      <c r="J22" s="26">
        <v>-4.6428570000000002</v>
      </c>
      <c r="K22" s="26">
        <v>7.0776700000000003</v>
      </c>
      <c r="L22" s="26"/>
      <c r="M22" s="26"/>
      <c r="N22" s="26">
        <v>-2.8571430000000002</v>
      </c>
      <c r="O22" s="26">
        <v>9.9061529999999998</v>
      </c>
      <c r="P22" s="26"/>
      <c r="Q22" s="26"/>
      <c r="R22" s="26">
        <v>1.285714</v>
      </c>
      <c r="S22" s="26">
        <v>8.0233179999999997</v>
      </c>
      <c r="T22" s="26"/>
      <c r="U22" s="26"/>
      <c r="V22" s="26">
        <v>-3.714286</v>
      </c>
      <c r="W22" s="26">
        <v>6.2441180000000003</v>
      </c>
    </row>
    <row r="23" spans="1:24" s="2" customFormat="1" x14ac:dyDescent="0.25">
      <c r="B23" s="50" t="s">
        <v>282</v>
      </c>
      <c r="C23" s="49">
        <f>B22/C22</f>
        <v>-0.25570866602503467</v>
      </c>
      <c r="D23" s="35"/>
      <c r="E23" s="35"/>
      <c r="F23" s="50" t="s">
        <v>282</v>
      </c>
      <c r="G23" s="49">
        <f>F22/G22</f>
        <v>-0.44804014555842864</v>
      </c>
      <c r="H23" s="35"/>
      <c r="I23" s="35"/>
      <c r="J23" s="50" t="s">
        <v>282</v>
      </c>
      <c r="K23" s="49">
        <f>J22/K22</f>
        <v>-0.65598664532254258</v>
      </c>
      <c r="L23" s="35"/>
      <c r="M23" s="35"/>
      <c r="N23" s="50" t="s">
        <v>282</v>
      </c>
      <c r="O23" s="49">
        <f>N22/O22</f>
        <v>-0.28842104498083165</v>
      </c>
      <c r="P23" s="35"/>
      <c r="Q23" s="35"/>
      <c r="R23" s="50" t="s">
        <v>282</v>
      </c>
      <c r="S23" s="49">
        <f>R22/S22</f>
        <v>0.16024716956251767</v>
      </c>
      <c r="T23" s="35"/>
      <c r="U23" s="35"/>
      <c r="V23" s="50" t="s">
        <v>282</v>
      </c>
      <c r="W23" s="49">
        <f>V22/W22</f>
        <v>-0.59484558107325969</v>
      </c>
    </row>
    <row r="24" spans="1:24" s="2" customFormat="1" x14ac:dyDescent="0.25">
      <c r="A24" s="189"/>
      <c r="B24" s="192" t="s">
        <v>447</v>
      </c>
      <c r="C24" s="192"/>
      <c r="D24" s="192">
        <f>(C17-B17)/B17*100</f>
        <v>3.9816232771822295</v>
      </c>
      <c r="E24" s="192"/>
      <c r="F24" s="192"/>
      <c r="G24" s="192"/>
      <c r="H24" s="192">
        <f>(G17-F17)/F17*100</f>
        <v>5.748663101604274</v>
      </c>
      <c r="I24" s="192"/>
      <c r="J24" s="192"/>
      <c r="K24" s="192"/>
      <c r="L24" s="192">
        <f>(K17-J17)/J17*100</f>
        <v>9.2592592592592506</v>
      </c>
      <c r="M24" s="192"/>
      <c r="N24" s="192"/>
      <c r="O24" s="192"/>
      <c r="P24" s="192">
        <f>(O17-N17)/N17*100</f>
        <v>5.6657223796033929</v>
      </c>
      <c r="Q24" s="192"/>
      <c r="R24" s="192"/>
      <c r="S24" s="192"/>
      <c r="T24" s="192">
        <f>(S17-R17)/R17*100</f>
        <v>-2.4032042723631486</v>
      </c>
      <c r="U24" s="192"/>
      <c r="V24" s="192"/>
      <c r="W24" s="192"/>
      <c r="X24" s="193">
        <f>(W17-V17)/V17*100</f>
        <v>7.2727272727272751</v>
      </c>
    </row>
    <row r="25" spans="1:24" s="2" customFormat="1" x14ac:dyDescent="0.25"/>
    <row r="26" spans="1:24" s="4" customFormat="1" x14ac:dyDescent="0.25">
      <c r="B26" s="4" t="s">
        <v>4</v>
      </c>
    </row>
    <row r="27" spans="1:24" s="4" customFormat="1" x14ac:dyDescent="0.25">
      <c r="B27" s="4" t="s">
        <v>97</v>
      </c>
    </row>
    <row r="28" spans="1:24" s="4" customFormat="1" x14ac:dyDescent="0.25">
      <c r="B28" s="4" t="s">
        <v>98</v>
      </c>
    </row>
    <row r="29" spans="1:24" s="4" customFormat="1" x14ac:dyDescent="0.25">
      <c r="B29" s="4" t="s">
        <v>99</v>
      </c>
    </row>
    <row r="30" spans="1:24" s="4" customFormat="1" x14ac:dyDescent="0.25">
      <c r="B30" s="4" t="s">
        <v>100</v>
      </c>
    </row>
    <row r="31" spans="1:24" s="4" customFormat="1" x14ac:dyDescent="0.25">
      <c r="B31" s="4" t="s">
        <v>101</v>
      </c>
    </row>
    <row r="32" spans="1:24" s="4" customFormat="1" x14ac:dyDescent="0.25">
      <c r="B32" s="4" t="s">
        <v>102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M25"/>
  <sheetViews>
    <sheetView tabSelected="1" workbookViewId="0">
      <pane ySplit="1" topLeftCell="A2" activePane="bottomLeft" state="frozen"/>
      <selection pane="bottomLeft" activeCell="G22" sqref="G22"/>
    </sheetView>
  </sheetViews>
  <sheetFormatPr defaultRowHeight="15" x14ac:dyDescent="0.25"/>
  <cols>
    <col min="1" max="1" width="13.28515625" style="20" bestFit="1" customWidth="1"/>
    <col min="2" max="2" width="19.85546875" style="248" customWidth="1"/>
    <col min="3" max="3" width="18.140625" style="15" customWidth="1"/>
    <col min="4" max="4" width="21.85546875" style="15" customWidth="1"/>
    <col min="5" max="5" width="9.140625" style="15"/>
    <col min="7" max="7" width="17.7109375" bestFit="1" customWidth="1"/>
    <col min="8" max="8" width="24.140625" style="2" bestFit="1" customWidth="1"/>
    <col min="9" max="9" width="17.7109375" style="2" customWidth="1"/>
    <col min="10" max="10" width="24.140625" style="2" bestFit="1" customWidth="1"/>
    <col min="11" max="11" width="17.7109375" style="2" customWidth="1"/>
  </cols>
  <sheetData>
    <row r="1" spans="1:13" s="66" customFormat="1" x14ac:dyDescent="0.25">
      <c r="A1" s="64"/>
      <c r="B1" s="248" t="s">
        <v>2</v>
      </c>
      <c r="C1" s="65" t="s">
        <v>126</v>
      </c>
      <c r="D1" s="65" t="s">
        <v>5</v>
      </c>
      <c r="E1" s="65" t="s">
        <v>23</v>
      </c>
      <c r="G1" s="251"/>
      <c r="H1" s="284" t="s">
        <v>495</v>
      </c>
      <c r="I1" s="284"/>
      <c r="J1" s="284" t="s">
        <v>496</v>
      </c>
      <c r="K1" s="285"/>
    </row>
    <row r="2" spans="1:13" x14ac:dyDescent="0.25">
      <c r="A2" s="64" t="s">
        <v>11</v>
      </c>
      <c r="B2" s="248">
        <v>1</v>
      </c>
      <c r="C2" s="17">
        <v>520.74</v>
      </c>
      <c r="D2" s="17">
        <v>594.33000000000004</v>
      </c>
      <c r="E2" s="17">
        <f>(D2-C2)/C2*100</f>
        <v>14.131812420785812</v>
      </c>
      <c r="G2" s="221"/>
      <c r="H2" s="252" t="s">
        <v>126</v>
      </c>
      <c r="I2" s="252" t="s">
        <v>5</v>
      </c>
      <c r="J2" s="252" t="s">
        <v>126</v>
      </c>
      <c r="K2" s="253" t="s">
        <v>5</v>
      </c>
    </row>
    <row r="3" spans="1:13" x14ac:dyDescent="0.25">
      <c r="A3" s="64" t="s">
        <v>10</v>
      </c>
      <c r="B3" s="248">
        <v>2</v>
      </c>
      <c r="C3" s="17">
        <v>626.71</v>
      </c>
      <c r="D3" s="17">
        <v>756.91</v>
      </c>
      <c r="E3" s="17">
        <f t="shared" ref="E3:E15" si="0">(D3-C3)/C3*100</f>
        <v>20.775159164525846</v>
      </c>
      <c r="G3" s="221"/>
      <c r="H3" s="6">
        <v>520.74</v>
      </c>
      <c r="I3" s="6">
        <v>594.33000000000004</v>
      </c>
      <c r="J3" s="6">
        <v>626.71</v>
      </c>
      <c r="K3" s="254">
        <v>756.91</v>
      </c>
    </row>
    <row r="4" spans="1:13" x14ac:dyDescent="0.25">
      <c r="A4" s="64" t="s">
        <v>12</v>
      </c>
      <c r="B4" s="248">
        <v>1</v>
      </c>
      <c r="C4" s="17">
        <v>545.92999999999995</v>
      </c>
      <c r="D4" s="17">
        <v>596.30999999999995</v>
      </c>
      <c r="E4" s="17">
        <f t="shared" si="0"/>
        <v>9.2282893411243201</v>
      </c>
      <c r="G4" s="221"/>
      <c r="H4" s="6">
        <v>545.92999999999995</v>
      </c>
      <c r="I4" s="6">
        <v>596.30999999999995</v>
      </c>
      <c r="J4" s="63">
        <v>692.85</v>
      </c>
      <c r="K4" s="255">
        <v>744.8</v>
      </c>
    </row>
    <row r="5" spans="1:13" s="27" customFormat="1" x14ac:dyDescent="0.25">
      <c r="A5" s="26" t="s">
        <v>13</v>
      </c>
      <c r="B5" s="26">
        <v>1</v>
      </c>
      <c r="C5" s="32">
        <v>538.23</v>
      </c>
      <c r="D5" s="32">
        <v>574.08000000000004</v>
      </c>
      <c r="E5" s="32">
        <f t="shared" si="0"/>
        <v>6.660721252995935</v>
      </c>
      <c r="G5" s="256"/>
      <c r="H5" s="63">
        <v>538.23</v>
      </c>
      <c r="I5" s="63">
        <v>574.08000000000004</v>
      </c>
      <c r="J5" s="63">
        <v>613.25</v>
      </c>
      <c r="K5" s="255">
        <v>676.62</v>
      </c>
      <c r="L5" s="30"/>
      <c r="M5" s="30"/>
    </row>
    <row r="6" spans="1:13" s="27" customFormat="1" x14ac:dyDescent="0.25">
      <c r="A6" s="26" t="s">
        <v>14</v>
      </c>
      <c r="B6" s="26">
        <v>2</v>
      </c>
      <c r="C6" s="32">
        <v>692.85</v>
      </c>
      <c r="D6" s="32">
        <v>744.8</v>
      </c>
      <c r="E6" s="32">
        <f t="shared" si="0"/>
        <v>7.4980154434581694</v>
      </c>
      <c r="G6" s="256"/>
      <c r="H6" s="63">
        <v>594.33000000000004</v>
      </c>
      <c r="I6" s="63">
        <v>586.41</v>
      </c>
      <c r="J6" s="63">
        <v>594.66</v>
      </c>
      <c r="K6" s="255">
        <v>612.44000000000005</v>
      </c>
    </row>
    <row r="7" spans="1:13" s="27" customFormat="1" x14ac:dyDescent="0.25">
      <c r="A7" s="26" t="s">
        <v>15</v>
      </c>
      <c r="B7" s="26">
        <v>1</v>
      </c>
      <c r="C7" s="32">
        <v>594.33000000000004</v>
      </c>
      <c r="D7" s="32">
        <v>586.41</v>
      </c>
      <c r="E7" s="32">
        <f t="shared" si="0"/>
        <v>-1.3325930038867417</v>
      </c>
      <c r="G7" s="256"/>
      <c r="H7" s="63">
        <v>556.21</v>
      </c>
      <c r="I7" s="63">
        <v>533.14</v>
      </c>
      <c r="J7" s="63">
        <v>585.42999999999995</v>
      </c>
      <c r="K7" s="255">
        <v>515.07000000000005</v>
      </c>
    </row>
    <row r="8" spans="1:13" s="27" customFormat="1" x14ac:dyDescent="0.25">
      <c r="A8" s="26" t="s">
        <v>16</v>
      </c>
      <c r="B8" s="26">
        <v>2</v>
      </c>
      <c r="C8" s="32">
        <v>613.25</v>
      </c>
      <c r="D8" s="32">
        <v>676.62</v>
      </c>
      <c r="E8" s="32">
        <f t="shared" si="0"/>
        <v>10.333469221361598</v>
      </c>
      <c r="G8" s="256"/>
      <c r="H8" s="63">
        <v>630.91</v>
      </c>
      <c r="I8" s="63">
        <v>634.75</v>
      </c>
      <c r="J8" s="63">
        <v>604.75</v>
      </c>
      <c r="K8" s="255">
        <v>585.64</v>
      </c>
    </row>
    <row r="9" spans="1:13" s="27" customFormat="1" x14ac:dyDescent="0.25">
      <c r="A9" s="26" t="s">
        <v>112</v>
      </c>
      <c r="B9" s="26">
        <v>1</v>
      </c>
      <c r="C9" s="32">
        <v>556.21</v>
      </c>
      <c r="D9" s="32">
        <v>533.14</v>
      </c>
      <c r="E9" s="32">
        <f t="shared" si="0"/>
        <v>-4.1477139929163531</v>
      </c>
      <c r="G9" s="256"/>
      <c r="H9" s="63">
        <v>579.6</v>
      </c>
      <c r="I9" s="63">
        <v>635.96</v>
      </c>
      <c r="J9" s="63">
        <v>594.79</v>
      </c>
      <c r="K9" s="255">
        <v>575.42999999999995</v>
      </c>
    </row>
    <row r="10" spans="1:13" s="27" customFormat="1" x14ac:dyDescent="0.25">
      <c r="A10" s="26" t="s">
        <v>113</v>
      </c>
      <c r="B10" s="26">
        <v>1</v>
      </c>
      <c r="C10" s="32">
        <v>630.91</v>
      </c>
      <c r="D10" s="32">
        <v>634.75</v>
      </c>
      <c r="E10" s="32">
        <f t="shared" si="0"/>
        <v>0.60864465613162444</v>
      </c>
      <c r="G10" s="256"/>
      <c r="H10" s="77"/>
      <c r="I10" s="77"/>
      <c r="J10" s="77"/>
      <c r="K10" s="257"/>
    </row>
    <row r="11" spans="1:13" s="27" customFormat="1" x14ac:dyDescent="0.25">
      <c r="A11" s="26" t="s">
        <v>114</v>
      </c>
      <c r="B11" s="26">
        <v>2</v>
      </c>
      <c r="C11" s="32">
        <v>594.66</v>
      </c>
      <c r="D11" s="32">
        <v>612.44000000000005</v>
      </c>
      <c r="E11" s="32">
        <f t="shared" si="0"/>
        <v>2.9899438334510626</v>
      </c>
      <c r="G11" s="256" t="s">
        <v>497</v>
      </c>
      <c r="H11" s="77">
        <f>AVERAGE(H3:H9)</f>
        <v>566.56428571428569</v>
      </c>
      <c r="I11" s="77">
        <f>AVERAGE(I3:I9)</f>
        <v>593.56857142857132</v>
      </c>
      <c r="J11" s="77">
        <f>AVERAGE(J3:J9)</f>
        <v>616.06285714285707</v>
      </c>
      <c r="K11" s="257">
        <f>AVERAGE(K3:K9)</f>
        <v>638.13</v>
      </c>
    </row>
    <row r="12" spans="1:13" s="27" customFormat="1" x14ac:dyDescent="0.25">
      <c r="A12" s="26" t="s">
        <v>115</v>
      </c>
      <c r="B12" s="26">
        <v>2</v>
      </c>
      <c r="C12" s="32">
        <v>585.42999999999995</v>
      </c>
      <c r="D12" s="32">
        <v>515.07000000000005</v>
      </c>
      <c r="E12" s="32">
        <f t="shared" si="0"/>
        <v>-12.018516304254975</v>
      </c>
      <c r="G12" s="258" t="s">
        <v>460</v>
      </c>
      <c r="H12" s="259">
        <f>STDEV(H3:H9)</f>
        <v>37.676070149429883</v>
      </c>
      <c r="I12" s="259">
        <f>STDEV(I3:I9)</f>
        <v>35.55207515207865</v>
      </c>
      <c r="J12" s="259">
        <f>STDEV(J3:J9)</f>
        <v>36.502302536637217</v>
      </c>
      <c r="K12" s="260">
        <f>STDEV(K3:K9)</f>
        <v>90.791783034957419</v>
      </c>
    </row>
    <row r="13" spans="1:13" s="27" customFormat="1" x14ac:dyDescent="0.25">
      <c r="A13" s="26" t="s">
        <v>117</v>
      </c>
      <c r="B13" s="26">
        <v>2</v>
      </c>
      <c r="C13" s="32">
        <v>604.75</v>
      </c>
      <c r="D13" s="32">
        <v>585.64</v>
      </c>
      <c r="E13" s="32">
        <f t="shared" si="0"/>
        <v>-3.159983464241424</v>
      </c>
    </row>
    <row r="14" spans="1:13" s="27" customFormat="1" x14ac:dyDescent="0.25">
      <c r="A14" s="26" t="s">
        <v>121</v>
      </c>
      <c r="B14" s="26">
        <v>1</v>
      </c>
      <c r="C14" s="32">
        <v>579.6</v>
      </c>
      <c r="D14" s="32">
        <v>635.96</v>
      </c>
      <c r="E14" s="32">
        <f t="shared" si="0"/>
        <v>9.7239475500345094</v>
      </c>
    </row>
    <row r="15" spans="1:13" s="27" customFormat="1" x14ac:dyDescent="0.25">
      <c r="A15" s="26" t="s">
        <v>122</v>
      </c>
      <c r="B15" s="26">
        <v>2</v>
      </c>
      <c r="C15" s="32">
        <v>594.79</v>
      </c>
      <c r="D15" s="32">
        <v>575.42999999999995</v>
      </c>
      <c r="E15" s="32">
        <f t="shared" si="0"/>
        <v>-3.2549303115385286</v>
      </c>
    </row>
    <row r="16" spans="1:13" s="66" customFormat="1" x14ac:dyDescent="0.25">
      <c r="A16" s="75" t="s">
        <v>123</v>
      </c>
      <c r="B16" s="67">
        <v>2</v>
      </c>
      <c r="C16" s="52"/>
      <c r="D16" s="58" t="s">
        <v>148</v>
      </c>
      <c r="E16" s="69" t="s">
        <v>151</v>
      </c>
      <c r="F16" s="2"/>
      <c r="G16" s="239" t="s">
        <v>481</v>
      </c>
      <c r="H16" s="101"/>
      <c r="I16" s="101"/>
      <c r="J16" s="101"/>
      <c r="K16" s="101"/>
    </row>
    <row r="17" spans="1:11" s="66" customFormat="1" x14ac:dyDescent="0.25">
      <c r="A17" s="20" t="s">
        <v>17</v>
      </c>
      <c r="B17" s="32"/>
      <c r="C17" s="65">
        <f>AVERAGE(C2:C16)</f>
        <v>591.31357142857144</v>
      </c>
      <c r="D17" s="65">
        <f>AVERAGE(D2:D16)</f>
        <v>615.84928571428577</v>
      </c>
      <c r="E17" s="33">
        <f>AVERAGE(E2:E16)</f>
        <v>4.1454475576450616</v>
      </c>
      <c r="G17" s="242" t="s">
        <v>487</v>
      </c>
      <c r="H17" s="101"/>
      <c r="I17" s="101"/>
      <c r="J17" s="101"/>
      <c r="K17" s="101"/>
    </row>
    <row r="18" spans="1:11" s="66" customFormat="1" x14ac:dyDescent="0.25">
      <c r="A18" s="20" t="s">
        <v>18</v>
      </c>
      <c r="B18" s="32"/>
      <c r="C18" s="65">
        <f>STDEV(C2:C16)</f>
        <v>43.928968995788729</v>
      </c>
      <c r="D18" s="65">
        <f>STDEV(D2:D16)</f>
        <v>70.160590895708665</v>
      </c>
      <c r="E18" s="65">
        <f>STDEV(E2:E16)</f>
        <v>8.6430315311960353</v>
      </c>
      <c r="G18" s="242" t="s">
        <v>486</v>
      </c>
      <c r="H18" s="101"/>
      <c r="I18" s="101"/>
      <c r="J18" s="101"/>
      <c r="K18" s="101"/>
    </row>
    <row r="19" spans="1:11" x14ac:dyDescent="0.25">
      <c r="B19" s="26"/>
      <c r="G19" s="243" t="s">
        <v>476</v>
      </c>
      <c r="H19" s="76"/>
      <c r="I19" s="76"/>
      <c r="J19" s="76"/>
      <c r="K19" s="76"/>
    </row>
    <row r="20" spans="1:11" x14ac:dyDescent="0.25">
      <c r="B20" s="26"/>
      <c r="C20" s="35"/>
      <c r="D20" s="35" t="s">
        <v>185</v>
      </c>
      <c r="E20" s="35"/>
    </row>
    <row r="21" spans="1:11" s="2" customFormat="1" x14ac:dyDescent="0.25">
      <c r="A21" s="20"/>
      <c r="B21" s="248"/>
      <c r="C21" s="35"/>
      <c r="D21" s="35" t="s">
        <v>212</v>
      </c>
      <c r="E21" s="35"/>
    </row>
    <row r="22" spans="1:11" s="2" customFormat="1" x14ac:dyDescent="0.25">
      <c r="A22" s="20" t="s">
        <v>281</v>
      </c>
      <c r="B22" s="248"/>
      <c r="C22" s="26">
        <v>-24.535713999999999</v>
      </c>
      <c r="D22" s="26">
        <v>51.343671000000001</v>
      </c>
      <c r="E22" s="35"/>
    </row>
    <row r="23" spans="1:11" s="2" customFormat="1" x14ac:dyDescent="0.25">
      <c r="A23" s="20"/>
      <c r="B23" s="248"/>
      <c r="C23" s="35" t="s">
        <v>282</v>
      </c>
      <c r="D23" s="49">
        <f>C22/D22</f>
        <v>-0.47787221914849054</v>
      </c>
      <c r="E23" s="35"/>
    </row>
    <row r="25" spans="1:11" x14ac:dyDescent="0.25">
      <c r="A25" s="189"/>
      <c r="C25" s="189" t="s">
        <v>447</v>
      </c>
      <c r="D25" s="189">
        <f>(D17-C17)/C17*100</f>
        <v>4.1493575441601651</v>
      </c>
    </row>
  </sheetData>
  <mergeCells count="2">
    <mergeCell ref="H1:I1"/>
    <mergeCell ref="J1:K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"/>
  <dimension ref="A1:BM74"/>
  <sheetViews>
    <sheetView workbookViewId="0">
      <pane xSplit="1" topLeftCell="B1" activePane="topRight" state="frozen"/>
      <selection pane="topRight" activeCell="K35" sqref="K35"/>
    </sheetView>
  </sheetViews>
  <sheetFormatPr defaultColWidth="9.140625" defaultRowHeight="15" x14ac:dyDescent="0.25"/>
  <cols>
    <col min="1" max="13" width="9.140625" style="18"/>
    <col min="14" max="14" width="15.5703125" style="4" customWidth="1"/>
    <col min="15" max="38" width="9.140625" style="4"/>
    <col min="39" max="16384" width="9.140625" style="18"/>
  </cols>
  <sheetData>
    <row r="1" spans="1:65" s="105" customFormat="1" x14ac:dyDescent="0.25">
      <c r="A1" s="53" t="s">
        <v>0</v>
      </c>
      <c r="B1" s="53" t="s">
        <v>37</v>
      </c>
      <c r="C1" s="53" t="s">
        <v>38</v>
      </c>
      <c r="D1" s="53" t="s">
        <v>23</v>
      </c>
      <c r="E1" s="53"/>
      <c r="F1" s="53" t="s">
        <v>50</v>
      </c>
      <c r="G1" s="53" t="s">
        <v>51</v>
      </c>
      <c r="H1" s="53" t="s">
        <v>23</v>
      </c>
      <c r="I1" s="53"/>
      <c r="J1" s="53" t="s">
        <v>39</v>
      </c>
      <c r="K1" s="53" t="s">
        <v>40</v>
      </c>
      <c r="L1" s="53" t="s">
        <v>23</v>
      </c>
      <c r="M1" s="53"/>
      <c r="N1" s="53" t="s">
        <v>52</v>
      </c>
      <c r="O1" s="53" t="s">
        <v>53</v>
      </c>
      <c r="P1" s="53" t="s">
        <v>23</v>
      </c>
      <c r="Q1" s="53"/>
      <c r="R1" s="53" t="s">
        <v>41</v>
      </c>
      <c r="S1" s="53" t="s">
        <v>41</v>
      </c>
      <c r="T1" s="53" t="s">
        <v>23</v>
      </c>
      <c r="U1" s="53"/>
      <c r="V1" s="53" t="s">
        <v>54</v>
      </c>
      <c r="W1" s="53" t="s">
        <v>54</v>
      </c>
      <c r="X1" s="53" t="s">
        <v>23</v>
      </c>
      <c r="Y1" s="53"/>
      <c r="Z1" s="53" t="s">
        <v>42</v>
      </c>
      <c r="AA1" s="53" t="s">
        <v>43</v>
      </c>
      <c r="AB1" s="53" t="s">
        <v>23</v>
      </c>
      <c r="AC1" s="53"/>
      <c r="AD1" s="53" t="s">
        <v>55</v>
      </c>
      <c r="AE1" s="53" t="s">
        <v>56</v>
      </c>
      <c r="AF1" s="53" t="s">
        <v>23</v>
      </c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8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8"/>
    </row>
    <row r="2" spans="1:65" s="106" customFormat="1" x14ac:dyDescent="0.25">
      <c r="A2" s="53" t="s">
        <v>11</v>
      </c>
      <c r="B2" s="112">
        <v>149.934</v>
      </c>
      <c r="C2" s="112">
        <v>150.303666666667</v>
      </c>
      <c r="D2" s="7">
        <f>(C2-B2)/B2*100</f>
        <v>0.24655292773286991</v>
      </c>
      <c r="E2" s="7"/>
      <c r="F2" s="7">
        <v>151.27000000000001</v>
      </c>
      <c r="G2" s="7">
        <v>151.905</v>
      </c>
      <c r="H2" s="7">
        <f>(G2-F2)/F2*100</f>
        <v>0.41977920275004355</v>
      </c>
      <c r="I2" s="7"/>
      <c r="J2" s="112">
        <v>9.7753333333333341</v>
      </c>
      <c r="K2" s="112">
        <v>9.7306666666666661</v>
      </c>
      <c r="L2" s="7">
        <f>(K2-J2)/J2*100</f>
        <v>-0.45693241492192554</v>
      </c>
      <c r="M2" s="7"/>
      <c r="N2" s="7">
        <v>10.55</v>
      </c>
      <c r="O2" s="112">
        <v>10.532999999999999</v>
      </c>
      <c r="P2" s="7">
        <f>(O2-N2)/N2*100</f>
        <v>-0.16113744075830555</v>
      </c>
      <c r="Q2" s="7"/>
      <c r="R2" s="112">
        <v>156.83666666666667</v>
      </c>
      <c r="S2" s="112">
        <v>155.655</v>
      </c>
      <c r="T2" s="7">
        <f>(S2-R2)/R2*100</f>
        <v>-0.75343775902744159</v>
      </c>
      <c r="U2" s="7"/>
      <c r="V2" s="112">
        <v>158.768</v>
      </c>
      <c r="W2" s="112">
        <v>159.202</v>
      </c>
      <c r="X2" s="7">
        <f>(W2-V2)/V2*100</f>
        <v>0.27335483220800005</v>
      </c>
      <c r="Y2" s="7"/>
      <c r="Z2" s="112">
        <v>125.375</v>
      </c>
      <c r="AA2" s="112">
        <v>124.15066666666667</v>
      </c>
      <c r="AB2" s="7">
        <f>(AA2-Z2)/Z2*100</f>
        <v>-0.97653705550016667</v>
      </c>
      <c r="AC2" s="7"/>
      <c r="AD2" s="112">
        <v>126</v>
      </c>
      <c r="AE2" s="112">
        <v>125.68600000000001</v>
      </c>
      <c r="AF2" s="7">
        <f>(AE2-AD2)/AD2*100</f>
        <v>-0.2492063492063436</v>
      </c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111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10"/>
    </row>
    <row r="3" spans="1:65" s="106" customFormat="1" x14ac:dyDescent="0.25">
      <c r="A3" s="53" t="s">
        <v>10</v>
      </c>
      <c r="B3" s="112">
        <v>150.25166666666667</v>
      </c>
      <c r="C3" s="11">
        <v>151.55000000000001</v>
      </c>
      <c r="D3" s="7">
        <f t="shared" ref="D3:D15" si="0">(C3-B3)/B3*100</f>
        <v>0.86410577808344635</v>
      </c>
      <c r="E3" s="7"/>
      <c r="F3" s="112">
        <v>150.46</v>
      </c>
      <c r="G3" s="11">
        <v>154.74</v>
      </c>
      <c r="H3" s="7">
        <f t="shared" ref="H3:H8" si="1">(G3-F3)/F3*100</f>
        <v>2.8446098630865353</v>
      </c>
      <c r="I3" s="7"/>
      <c r="J3" s="112">
        <v>11.927333333333335</v>
      </c>
      <c r="K3" s="11">
        <v>13.17</v>
      </c>
      <c r="L3" s="7">
        <f t="shared" ref="L3:L15" si="2">(K3-J3)/J3*100</f>
        <v>10.418646246716209</v>
      </c>
      <c r="M3" s="7"/>
      <c r="N3" s="112">
        <v>12.411</v>
      </c>
      <c r="O3" s="11">
        <v>14.1</v>
      </c>
      <c r="P3" s="7">
        <f t="shared" ref="P3:P15" si="3">(O3-N3)/N3*100</f>
        <v>13.608895334783661</v>
      </c>
      <c r="Q3" s="7"/>
      <c r="R3" s="112">
        <v>141.178</v>
      </c>
      <c r="S3" s="11">
        <v>138.66</v>
      </c>
      <c r="T3" s="7">
        <f t="shared" ref="T3:T15" si="4">(S3-R3)/R3*100</f>
        <v>-1.7835640113898772</v>
      </c>
      <c r="U3" s="7"/>
      <c r="V3" s="112">
        <v>142.00700000000001</v>
      </c>
      <c r="W3" s="11">
        <v>140.13999999999999</v>
      </c>
      <c r="X3" s="7">
        <f t="shared" ref="X3:X15" si="5">(W3-V3)/V3*100</f>
        <v>-1.3147239220601932</v>
      </c>
      <c r="Y3" s="7"/>
      <c r="Z3" s="112">
        <v>114.21166666666666</v>
      </c>
      <c r="AA3" s="11">
        <v>110.16</v>
      </c>
      <c r="AB3" s="7">
        <f t="shared" ref="AB3:AB15" si="6">(AA3-Z3)/Z3*100</f>
        <v>-3.5475068221285002</v>
      </c>
      <c r="AC3" s="7"/>
      <c r="AD3" s="112">
        <v>114.51300000000001</v>
      </c>
      <c r="AE3" s="11">
        <v>111.26</v>
      </c>
      <c r="AF3" s="7">
        <f t="shared" ref="AF3:AF15" si="7">(AE3-AD3)/AD3*100</f>
        <v>-2.8407255071476603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111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10"/>
    </row>
    <row r="4" spans="1:65" s="106" customFormat="1" x14ac:dyDescent="0.25">
      <c r="A4" s="53" t="s">
        <v>12</v>
      </c>
      <c r="B4" s="112">
        <v>129.60733333333334</v>
      </c>
      <c r="C4" s="112">
        <v>124.75733333333334</v>
      </c>
      <c r="D4" s="7">
        <f t="shared" si="0"/>
        <v>-3.7420722078483277</v>
      </c>
      <c r="E4" s="7"/>
      <c r="F4" s="112">
        <v>130.577</v>
      </c>
      <c r="G4" s="112">
        <v>125.59699999999999</v>
      </c>
      <c r="H4" s="7">
        <f t="shared" si="1"/>
        <v>-3.8138416413304057</v>
      </c>
      <c r="I4" s="7"/>
      <c r="J4" s="112">
        <v>9.5619999999999994</v>
      </c>
      <c r="K4" s="112">
        <v>8.2456666666666667</v>
      </c>
      <c r="L4" s="7">
        <f t="shared" si="2"/>
        <v>-13.76629714843477</v>
      </c>
      <c r="M4" s="7"/>
      <c r="N4" s="112">
        <v>9.8219999999999992</v>
      </c>
      <c r="O4" s="112">
        <v>9.1069999999999993</v>
      </c>
      <c r="P4" s="7">
        <f t="shared" si="3"/>
        <v>-7.2795764610059042</v>
      </c>
      <c r="Q4" s="7"/>
      <c r="R4" s="112">
        <v>145.251</v>
      </c>
      <c r="S4" s="112">
        <v>128.81299999999999</v>
      </c>
      <c r="T4" s="7">
        <f t="shared" si="4"/>
        <v>-11.316961673241503</v>
      </c>
      <c r="U4" s="7"/>
      <c r="V4" s="112">
        <v>147.12899999999999</v>
      </c>
      <c r="W4" s="112">
        <v>131.63</v>
      </c>
      <c r="X4" s="7">
        <f t="shared" si="5"/>
        <v>-10.534293035363522</v>
      </c>
      <c r="Y4" s="7"/>
      <c r="Z4" s="112">
        <v>134.35166666666669</v>
      </c>
      <c r="AA4" s="112">
        <v>123.57299999999999</v>
      </c>
      <c r="AB4" s="7">
        <f t="shared" si="6"/>
        <v>-8.0227264269144598</v>
      </c>
      <c r="AC4" s="7"/>
      <c r="AD4" s="112">
        <v>135.28200000000001</v>
      </c>
      <c r="AE4" s="112">
        <v>125.581</v>
      </c>
      <c r="AF4" s="7">
        <f t="shared" si="7"/>
        <v>-7.1709466152185861</v>
      </c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111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10"/>
    </row>
    <row r="5" spans="1:65" s="106" customFormat="1" x14ac:dyDescent="0.25">
      <c r="A5" s="53" t="s">
        <v>13</v>
      </c>
      <c r="B5" s="112">
        <v>135.404</v>
      </c>
      <c r="C5" s="112">
        <v>139.04999999999998</v>
      </c>
      <c r="D5" s="7">
        <f t="shared" si="0"/>
        <v>2.6926826386221876</v>
      </c>
      <c r="E5" s="7"/>
      <c r="F5" s="112">
        <v>136.679</v>
      </c>
      <c r="G5" s="112">
        <v>142.678</v>
      </c>
      <c r="H5" s="7">
        <f t="shared" si="1"/>
        <v>4.389116104156451</v>
      </c>
      <c r="I5" s="7"/>
      <c r="J5" s="112">
        <v>10.950333333333333</v>
      </c>
      <c r="K5" s="112">
        <v>11.304</v>
      </c>
      <c r="L5" s="7">
        <f t="shared" si="2"/>
        <v>3.2297342546650079</v>
      </c>
      <c r="M5" s="7"/>
      <c r="N5" s="112">
        <v>11.115</v>
      </c>
      <c r="O5" s="7">
        <v>11.869</v>
      </c>
      <c r="P5" s="7">
        <f t="shared" si="3"/>
        <v>6.7836257309941486</v>
      </c>
      <c r="Q5" s="7"/>
      <c r="R5" s="112">
        <v>141.12100000000001</v>
      </c>
      <c r="S5" s="112">
        <v>149.00333333333333</v>
      </c>
      <c r="T5" s="7">
        <f t="shared" si="4"/>
        <v>5.5855140860207344</v>
      </c>
      <c r="U5" s="7"/>
      <c r="V5" s="112">
        <v>145.92500000000001</v>
      </c>
      <c r="W5" s="112">
        <v>152.22399999999999</v>
      </c>
      <c r="X5" s="7">
        <f t="shared" si="5"/>
        <v>4.3166009936611118</v>
      </c>
      <c r="Y5" s="7"/>
      <c r="Z5" s="112">
        <v>127.17900000000002</v>
      </c>
      <c r="AA5" s="112">
        <v>130.23533333333333</v>
      </c>
      <c r="AB5" s="7">
        <f t="shared" si="6"/>
        <v>2.4031745282895076</v>
      </c>
      <c r="AC5" s="7"/>
      <c r="AD5" s="112">
        <v>134.71899999999999</v>
      </c>
      <c r="AE5" s="112">
        <v>138.75800000000001</v>
      </c>
      <c r="AF5" s="7">
        <f t="shared" si="7"/>
        <v>2.9980923255071787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111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</row>
    <row r="6" spans="1:65" s="106" customFormat="1" x14ac:dyDescent="0.25">
      <c r="A6" s="53" t="s">
        <v>14</v>
      </c>
      <c r="B6" s="112">
        <v>144.25233333333333</v>
      </c>
      <c r="C6" s="112">
        <v>150.59933333333333</v>
      </c>
      <c r="D6" s="7">
        <f t="shared" si="0"/>
        <v>4.3999288284187266</v>
      </c>
      <c r="E6" s="7"/>
      <c r="F6" s="112">
        <v>144.589</v>
      </c>
      <c r="G6" s="112">
        <v>155.09</v>
      </c>
      <c r="H6" s="7">
        <f t="shared" si="1"/>
        <v>7.2626548354300855</v>
      </c>
      <c r="I6" s="7"/>
      <c r="J6" s="112">
        <v>14.625</v>
      </c>
      <c r="K6" s="112">
        <v>15.411000000000001</v>
      </c>
      <c r="L6" s="7">
        <f t="shared" si="2"/>
        <v>5.3743589743589837</v>
      </c>
      <c r="M6" s="7"/>
      <c r="N6" s="112">
        <v>15.911</v>
      </c>
      <c r="O6" s="112">
        <v>16.847000000000001</v>
      </c>
      <c r="P6" s="7">
        <f t="shared" si="3"/>
        <v>5.8827226447112171</v>
      </c>
      <c r="Q6" s="7"/>
      <c r="R6" s="112">
        <v>136.21266666666668</v>
      </c>
      <c r="S6" s="112">
        <v>139.33833333333334</v>
      </c>
      <c r="T6" s="7">
        <f t="shared" si="4"/>
        <v>2.294696039036991</v>
      </c>
      <c r="U6" s="7"/>
      <c r="V6" s="112">
        <v>141.06200000000001</v>
      </c>
      <c r="W6" s="112">
        <v>142.977</v>
      </c>
      <c r="X6" s="7">
        <f t="shared" si="5"/>
        <v>1.3575590874934369</v>
      </c>
      <c r="Y6" s="7"/>
      <c r="Z6" s="112">
        <v>116.03000000000002</v>
      </c>
      <c r="AA6" s="112">
        <v>111.504</v>
      </c>
      <c r="AB6" s="7">
        <f t="shared" si="6"/>
        <v>-3.9007153322416701</v>
      </c>
      <c r="AC6" s="7"/>
      <c r="AD6" s="112">
        <v>123.34</v>
      </c>
      <c r="AE6" s="112">
        <v>113.60899999999999</v>
      </c>
      <c r="AF6" s="7">
        <f t="shared" si="7"/>
        <v>-7.8895735365655986</v>
      </c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111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10"/>
    </row>
    <row r="7" spans="1:65" s="106" customFormat="1" x14ac:dyDescent="0.25">
      <c r="A7" s="53" t="s">
        <v>15</v>
      </c>
      <c r="B7" s="112">
        <v>137.20166666666668</v>
      </c>
      <c r="C7" s="112">
        <v>130.71466666666666</v>
      </c>
      <c r="D7" s="7">
        <f t="shared" si="0"/>
        <v>-4.7280766754534245</v>
      </c>
      <c r="E7" s="7"/>
      <c r="F7" s="112">
        <v>138.51</v>
      </c>
      <c r="G7" s="112">
        <v>134.15199999999999</v>
      </c>
      <c r="H7" s="7">
        <f t="shared" si="1"/>
        <v>-3.1463432243159368</v>
      </c>
      <c r="I7" s="7"/>
      <c r="J7" s="112">
        <v>10.780999999999999</v>
      </c>
      <c r="K7" s="112">
        <v>10.411666666666667</v>
      </c>
      <c r="L7" s="7">
        <f t="shared" si="2"/>
        <v>-3.4257799214667637</v>
      </c>
      <c r="M7" s="7"/>
      <c r="N7" s="112">
        <v>11</v>
      </c>
      <c r="O7" s="112">
        <v>11.167999999999999</v>
      </c>
      <c r="P7" s="7">
        <f t="shared" si="3"/>
        <v>1.5272727272727205</v>
      </c>
      <c r="Q7" s="7"/>
      <c r="R7" s="112">
        <v>138.73999999999998</v>
      </c>
      <c r="S7" s="112">
        <v>125.49366666666667</v>
      </c>
      <c r="T7" s="7">
        <f t="shared" si="4"/>
        <v>-9.5475950218634225</v>
      </c>
      <c r="U7" s="7"/>
      <c r="V7" s="112">
        <v>144.892</v>
      </c>
      <c r="W7" s="112">
        <v>130.27500000000001</v>
      </c>
      <c r="X7" s="7">
        <f t="shared" si="5"/>
        <v>-10.088203627529465</v>
      </c>
      <c r="Y7" s="7"/>
      <c r="Z7" s="112">
        <v>121.91233333333334</v>
      </c>
      <c r="AA7" s="112">
        <v>115.11433333333332</v>
      </c>
      <c r="AB7" s="7">
        <f t="shared" si="6"/>
        <v>-5.5761380445511524</v>
      </c>
      <c r="AC7" s="7"/>
      <c r="AD7" s="112">
        <v>127.71599999999999</v>
      </c>
      <c r="AE7" s="112">
        <v>116.364</v>
      </c>
      <c r="AF7" s="7">
        <f t="shared" si="7"/>
        <v>-8.8884712956872995</v>
      </c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111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10"/>
    </row>
    <row r="8" spans="1:65" s="106" customFormat="1" x14ac:dyDescent="0.25">
      <c r="A8" s="53" t="s">
        <v>16</v>
      </c>
      <c r="B8" s="112">
        <v>143.12666666666667</v>
      </c>
      <c r="C8" s="112">
        <v>159.143</v>
      </c>
      <c r="D8" s="7">
        <f t="shared" si="0"/>
        <v>11.190320927849459</v>
      </c>
      <c r="E8" s="7"/>
      <c r="F8" s="112">
        <v>146.69999999999999</v>
      </c>
      <c r="G8" s="112">
        <v>166.04400000000001</v>
      </c>
      <c r="H8" s="7">
        <f t="shared" si="1"/>
        <v>13.18609406952967</v>
      </c>
      <c r="I8" s="7"/>
      <c r="J8" s="112">
        <v>15.597333333333333</v>
      </c>
      <c r="K8" s="112">
        <v>16.524333333333335</v>
      </c>
      <c r="L8" s="7">
        <f t="shared" si="2"/>
        <v>5.943323645067542</v>
      </c>
      <c r="M8" s="7"/>
      <c r="N8" s="112">
        <v>15.907999999999999</v>
      </c>
      <c r="O8" s="112">
        <v>17.661999999999999</v>
      </c>
      <c r="P8" s="7">
        <f t="shared" si="3"/>
        <v>11.025898918783</v>
      </c>
      <c r="Q8" s="7"/>
      <c r="R8" s="112">
        <v>136.876</v>
      </c>
      <c r="S8" s="112">
        <v>167.15833333333333</v>
      </c>
      <c r="T8" s="7">
        <f t="shared" si="4"/>
        <v>22.12391751171376</v>
      </c>
      <c r="U8" s="7"/>
      <c r="V8" s="112">
        <v>139.16200000000001</v>
      </c>
      <c r="W8" s="112">
        <v>176.07</v>
      </c>
      <c r="X8" s="7">
        <f t="shared" si="5"/>
        <v>26.521607910205365</v>
      </c>
      <c r="Y8" s="7"/>
      <c r="Z8" s="112">
        <v>114.58333333333333</v>
      </c>
      <c r="AA8" s="112">
        <v>126.74233333333332</v>
      </c>
      <c r="AB8" s="7">
        <f t="shared" si="6"/>
        <v>10.611490909090902</v>
      </c>
      <c r="AC8" s="7"/>
      <c r="AD8" s="112">
        <v>117.07299999999999</v>
      </c>
      <c r="AE8" s="112">
        <v>127.595</v>
      </c>
      <c r="AF8" s="7">
        <f t="shared" si="7"/>
        <v>8.9875547735173846</v>
      </c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111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10"/>
    </row>
    <row r="9" spans="1:65" s="106" customFormat="1" x14ac:dyDescent="0.25">
      <c r="A9" s="53" t="s">
        <v>112</v>
      </c>
      <c r="B9" s="11">
        <v>133.15433333333334</v>
      </c>
      <c r="C9" s="11">
        <v>132.32599999999999</v>
      </c>
      <c r="D9" s="7">
        <f t="shared" si="0"/>
        <v>-0.6220851493129631</v>
      </c>
      <c r="E9" s="7"/>
      <c r="F9" s="11">
        <v>139.43700000000001</v>
      </c>
      <c r="G9" s="11">
        <v>139.61000000000001</v>
      </c>
      <c r="H9" s="7">
        <f>(G9-F9)/F9*100</f>
        <v>0.12407036869697555</v>
      </c>
      <c r="I9" s="7"/>
      <c r="J9" s="11">
        <v>4.3766666666666669</v>
      </c>
      <c r="K9" s="11">
        <v>6.2766666666666673</v>
      </c>
      <c r="L9" s="7">
        <f t="shared" si="2"/>
        <v>43.412033511043418</v>
      </c>
      <c r="M9" s="7"/>
      <c r="N9" s="11">
        <v>6.5620000000000003</v>
      </c>
      <c r="O9" s="11">
        <v>6.548</v>
      </c>
      <c r="P9" s="7">
        <f t="shared" si="3"/>
        <v>-0.21334958854008282</v>
      </c>
      <c r="Q9" s="7"/>
      <c r="R9" s="11">
        <v>148.92833333333331</v>
      </c>
      <c r="S9" s="11">
        <v>145.79266666666666</v>
      </c>
      <c r="T9" s="7">
        <f t="shared" si="4"/>
        <v>-2.1054869791958</v>
      </c>
      <c r="U9" s="7"/>
      <c r="V9" s="11">
        <v>157.773</v>
      </c>
      <c r="W9" s="11">
        <v>149.012</v>
      </c>
      <c r="X9" s="7">
        <f t="shared" si="5"/>
        <v>-5.5529146305134569</v>
      </c>
      <c r="Y9" s="7"/>
      <c r="Z9" s="11">
        <v>134.39700000000002</v>
      </c>
      <c r="AA9" s="11">
        <v>135.91900000000001</v>
      </c>
      <c r="AB9" s="7">
        <f t="shared" si="6"/>
        <v>1.1324657544439169</v>
      </c>
      <c r="AC9" s="7"/>
      <c r="AD9" s="11">
        <v>150</v>
      </c>
      <c r="AE9" s="11">
        <v>144.96600000000001</v>
      </c>
      <c r="AF9" s="7">
        <f t="shared" si="7"/>
        <v>-3.3559999999999945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111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10"/>
    </row>
    <row r="10" spans="1:65" s="106" customFormat="1" x14ac:dyDescent="0.25">
      <c r="A10" s="53" t="s">
        <v>113</v>
      </c>
      <c r="B10" s="11">
        <v>139.37100000000001</v>
      </c>
      <c r="C10" s="11">
        <v>137.02566666666667</v>
      </c>
      <c r="D10" s="7">
        <f t="shared" si="0"/>
        <v>-1.6827986692592742</v>
      </c>
      <c r="E10" s="7"/>
      <c r="F10" s="11">
        <v>141.739</v>
      </c>
      <c r="G10" s="11">
        <v>138.15299999999999</v>
      </c>
      <c r="H10" s="7">
        <f t="shared" ref="H10:H15" si="8">(G10-F10)/F10*100</f>
        <v>-2.5300023282230102</v>
      </c>
      <c r="I10" s="7"/>
      <c r="J10" s="11">
        <v>13.065</v>
      </c>
      <c r="K10" s="11">
        <v>11.816666666666668</v>
      </c>
      <c r="L10" s="7">
        <f t="shared" si="2"/>
        <v>-9.5547901518050615</v>
      </c>
      <c r="M10" s="7"/>
      <c r="N10" s="11">
        <v>13.746</v>
      </c>
      <c r="O10" s="11">
        <v>12.363</v>
      </c>
      <c r="P10" s="7">
        <f t="shared" si="3"/>
        <v>-10.061108686163253</v>
      </c>
      <c r="Q10" s="7"/>
      <c r="R10" s="11">
        <v>152.36133333333333</v>
      </c>
      <c r="S10" s="11">
        <v>145.08633333333333</v>
      </c>
      <c r="T10" s="7">
        <f t="shared" si="4"/>
        <v>-4.7748335098143926</v>
      </c>
      <c r="U10" s="7"/>
      <c r="V10" s="11">
        <v>159.39400000000001</v>
      </c>
      <c r="W10" s="11">
        <v>145.607</v>
      </c>
      <c r="X10" s="7">
        <f t="shared" si="5"/>
        <v>-8.6496354944351754</v>
      </c>
      <c r="Y10" s="7"/>
      <c r="Z10" s="11">
        <v>133.714</v>
      </c>
      <c r="AA10" s="11">
        <v>126.87400000000001</v>
      </c>
      <c r="AB10" s="7">
        <f t="shared" si="6"/>
        <v>-5.1153955457169697</v>
      </c>
      <c r="AC10" s="7"/>
      <c r="AD10" s="11">
        <v>144</v>
      </c>
      <c r="AE10" s="11">
        <v>127.434</v>
      </c>
      <c r="AF10" s="7">
        <f t="shared" si="7"/>
        <v>-11.504166666666668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111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10"/>
    </row>
    <row r="11" spans="1:65" s="106" customFormat="1" x14ac:dyDescent="0.25">
      <c r="A11" s="53" t="s">
        <v>114</v>
      </c>
      <c r="B11" s="11">
        <v>133.91999999999999</v>
      </c>
      <c r="C11" s="7">
        <v>126.848</v>
      </c>
      <c r="D11" s="7">
        <f t="shared" si="0"/>
        <v>-5.2807646356033366</v>
      </c>
      <c r="E11" s="7"/>
      <c r="F11" s="11">
        <v>136.29400000000001</v>
      </c>
      <c r="G11" s="7">
        <v>127.663</v>
      </c>
      <c r="H11" s="7">
        <f t="shared" si="8"/>
        <v>-6.3326338650270833</v>
      </c>
      <c r="I11" s="7"/>
      <c r="J11" s="11">
        <v>14.700333333333333</v>
      </c>
      <c r="K11" s="7">
        <v>14.003</v>
      </c>
      <c r="L11" s="7">
        <f t="shared" si="2"/>
        <v>-4.7436566064261552</v>
      </c>
      <c r="M11" s="7"/>
      <c r="N11" s="11">
        <v>17.039000000000001</v>
      </c>
      <c r="O11" s="7">
        <v>14.451000000000001</v>
      </c>
      <c r="P11" s="7">
        <f t="shared" si="3"/>
        <v>-15.188684781970776</v>
      </c>
      <c r="Q11" s="7"/>
      <c r="R11" s="11">
        <v>139.31466666666665</v>
      </c>
      <c r="S11" s="7">
        <v>124.056</v>
      </c>
      <c r="T11" s="7">
        <f t="shared" si="4"/>
        <v>-10.95266351472924</v>
      </c>
      <c r="U11" s="7"/>
      <c r="V11" s="11">
        <v>141.69200000000001</v>
      </c>
      <c r="W11" s="7">
        <v>125.95699999999999</v>
      </c>
      <c r="X11" s="7">
        <f t="shared" si="5"/>
        <v>-11.105072975185623</v>
      </c>
      <c r="Y11" s="7"/>
      <c r="Z11" s="11">
        <v>124.79033333333332</v>
      </c>
      <c r="AA11" s="7">
        <v>116.83333333333333</v>
      </c>
      <c r="AB11" s="7">
        <f t="shared" si="6"/>
        <v>-6.3762951724358947</v>
      </c>
      <c r="AC11" s="7"/>
      <c r="AD11" s="11">
        <v>125.825</v>
      </c>
      <c r="AE11" s="7">
        <v>118.033</v>
      </c>
      <c r="AF11" s="7">
        <f t="shared" si="7"/>
        <v>-6.1927279952314738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111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10"/>
    </row>
    <row r="12" spans="1:65" s="106" customFormat="1" x14ac:dyDescent="0.25">
      <c r="A12" s="53" t="s">
        <v>115</v>
      </c>
      <c r="B12" s="94">
        <v>120.70866666666666</v>
      </c>
      <c r="C12" s="11">
        <v>135.80799999999999</v>
      </c>
      <c r="D12" s="7">
        <f t="shared" si="0"/>
        <v>12.508905739991055</v>
      </c>
      <c r="E12" s="7"/>
      <c r="F12" s="94">
        <v>121.205</v>
      </c>
      <c r="G12" s="11">
        <v>137.44900000000001</v>
      </c>
      <c r="H12" s="7">
        <f t="shared" si="8"/>
        <v>13.402087372633154</v>
      </c>
      <c r="I12" s="7"/>
      <c r="J12" s="94">
        <v>14.234333333333334</v>
      </c>
      <c r="K12" s="11">
        <v>12.554000000000002</v>
      </c>
      <c r="L12" s="7">
        <f t="shared" si="2"/>
        <v>-11.804791232466091</v>
      </c>
      <c r="M12" s="7"/>
      <c r="N12" s="94">
        <v>16.867999999999999</v>
      </c>
      <c r="O12" s="11">
        <v>13.066000000000001</v>
      </c>
      <c r="P12" s="7">
        <f t="shared" si="3"/>
        <v>-22.539720180222897</v>
      </c>
      <c r="Q12" s="7"/>
      <c r="R12" s="94">
        <v>109.79666666666667</v>
      </c>
      <c r="S12" s="11">
        <v>126.19333333333333</v>
      </c>
      <c r="T12" s="7">
        <f t="shared" si="4"/>
        <v>14.933665260026105</v>
      </c>
      <c r="U12" s="7"/>
      <c r="V12" s="94">
        <v>110.09399999999999</v>
      </c>
      <c r="W12" s="11">
        <v>126.83499999999999</v>
      </c>
      <c r="X12" s="7">
        <f t="shared" si="5"/>
        <v>15.206096608352862</v>
      </c>
      <c r="Y12" s="7"/>
      <c r="Z12" s="94">
        <v>110.14933333333333</v>
      </c>
      <c r="AA12" s="11">
        <v>111.41933333333333</v>
      </c>
      <c r="AB12" s="7">
        <f t="shared" si="6"/>
        <v>1.1529801965816069</v>
      </c>
      <c r="AC12" s="7"/>
      <c r="AD12" s="94">
        <v>110.599</v>
      </c>
      <c r="AE12" s="11">
        <v>112.062</v>
      </c>
      <c r="AF12" s="7">
        <f t="shared" si="7"/>
        <v>1.3227967703143735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111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10"/>
    </row>
    <row r="13" spans="1:65" s="106" customFormat="1" x14ac:dyDescent="0.25">
      <c r="A13" s="53" t="s">
        <v>117</v>
      </c>
      <c r="B13" s="11">
        <v>147.04133333333334</v>
      </c>
      <c r="C13" s="11">
        <v>147.29066666666665</v>
      </c>
      <c r="D13" s="7">
        <f t="shared" si="0"/>
        <v>0.16956683381542006</v>
      </c>
      <c r="E13" s="7"/>
      <c r="F13" s="11">
        <v>152.36799999999999</v>
      </c>
      <c r="G13" s="11">
        <v>148.774</v>
      </c>
      <c r="H13" s="7">
        <f t="shared" si="8"/>
        <v>-2.3587629948545588</v>
      </c>
      <c r="I13" s="7"/>
      <c r="J13" s="11">
        <v>8.9550000000000001</v>
      </c>
      <c r="K13" s="11">
        <v>6.9803333333333342</v>
      </c>
      <c r="L13" s="7">
        <f t="shared" si="2"/>
        <v>-22.050995719337418</v>
      </c>
      <c r="M13" s="7"/>
      <c r="N13" s="11">
        <v>9.69</v>
      </c>
      <c r="O13" s="11">
        <v>7.5449999999999999</v>
      </c>
      <c r="P13" s="7">
        <f t="shared" si="3"/>
        <v>-22.136222910216716</v>
      </c>
      <c r="Q13" s="7"/>
      <c r="R13" s="11">
        <v>119.11899999999999</v>
      </c>
      <c r="S13" s="11">
        <v>118.99</v>
      </c>
      <c r="T13" s="7">
        <f t="shared" si="4"/>
        <v>-0.10829506627825175</v>
      </c>
      <c r="U13" s="7"/>
      <c r="V13" s="11">
        <v>122.04600000000001</v>
      </c>
      <c r="W13" s="11">
        <v>119.684</v>
      </c>
      <c r="X13" s="7">
        <f t="shared" si="5"/>
        <v>-1.9353358569719685</v>
      </c>
      <c r="Y13" s="7"/>
      <c r="Z13" s="11">
        <v>97.506666666666661</v>
      </c>
      <c r="AA13" s="11">
        <v>97.189333333333323</v>
      </c>
      <c r="AB13" s="7">
        <f t="shared" si="6"/>
        <v>-0.32544783262683319</v>
      </c>
      <c r="AC13" s="7"/>
      <c r="AD13" s="11">
        <v>106.077</v>
      </c>
      <c r="AE13" s="11">
        <v>98.462000000000003</v>
      </c>
      <c r="AF13" s="7">
        <f t="shared" si="7"/>
        <v>-7.1787475135986076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111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10"/>
    </row>
    <row r="14" spans="1:65" s="106" customFormat="1" x14ac:dyDescent="0.25">
      <c r="A14" s="53" t="s">
        <v>121</v>
      </c>
      <c r="B14" s="11">
        <v>145.45133333333334</v>
      </c>
      <c r="C14" s="11">
        <v>157.05266666666665</v>
      </c>
      <c r="D14" s="7">
        <f t="shared" si="0"/>
        <v>7.9760928053827733</v>
      </c>
      <c r="E14" s="7"/>
      <c r="F14" s="11">
        <v>145.471</v>
      </c>
      <c r="G14" s="11">
        <v>162.65700000000001</v>
      </c>
      <c r="H14" s="7">
        <f t="shared" si="8"/>
        <v>11.814038536890518</v>
      </c>
      <c r="I14" s="7"/>
      <c r="J14" s="11">
        <v>13.302333333333332</v>
      </c>
      <c r="K14" s="11">
        <v>13.606</v>
      </c>
      <c r="L14" s="7">
        <f t="shared" si="2"/>
        <v>2.2828075275014537</v>
      </c>
      <c r="M14" s="7"/>
      <c r="N14" s="11">
        <v>14.664999999999999</v>
      </c>
      <c r="O14" s="11">
        <v>14.728999999999999</v>
      </c>
      <c r="P14" s="7">
        <f t="shared" si="3"/>
        <v>0.4364132287759977</v>
      </c>
      <c r="Q14" s="7"/>
      <c r="R14" s="11">
        <v>140.69433333333333</v>
      </c>
      <c r="S14" s="11">
        <v>156.09166666666667</v>
      </c>
      <c r="T14" s="7">
        <f t="shared" si="4"/>
        <v>10.943819106668595</v>
      </c>
      <c r="U14" s="7"/>
      <c r="V14" s="11">
        <v>143.756</v>
      </c>
      <c r="W14" s="11">
        <v>159.554</v>
      </c>
      <c r="X14" s="7">
        <f t="shared" si="5"/>
        <v>10.989454353209606</v>
      </c>
      <c r="Y14" s="7"/>
      <c r="Z14" s="11">
        <v>118.26933333333334</v>
      </c>
      <c r="AA14" s="11">
        <v>118.89166666666667</v>
      </c>
      <c r="AB14" s="7">
        <f t="shared" si="6"/>
        <v>0.52620008568013976</v>
      </c>
      <c r="AC14" s="7"/>
      <c r="AD14" s="11">
        <v>124.13800000000001</v>
      </c>
      <c r="AE14" s="11">
        <v>119.751</v>
      </c>
      <c r="AF14" s="7">
        <f t="shared" si="7"/>
        <v>-3.5339702589054118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111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10"/>
    </row>
    <row r="15" spans="1:65" s="106" customFormat="1" x14ac:dyDescent="0.25">
      <c r="A15" s="53" t="s">
        <v>122</v>
      </c>
      <c r="B15" s="11">
        <v>142.78333333333333</v>
      </c>
      <c r="C15" s="11">
        <v>137.64600000000002</v>
      </c>
      <c r="D15" s="7">
        <f t="shared" si="0"/>
        <v>-3.5979922960195982</v>
      </c>
      <c r="E15" s="7"/>
      <c r="F15" s="11">
        <v>145.44</v>
      </c>
      <c r="G15" s="11">
        <v>141.447</v>
      </c>
      <c r="H15" s="7">
        <f t="shared" si="8"/>
        <v>-2.7454620462046173</v>
      </c>
      <c r="I15" s="7"/>
      <c r="J15" s="11">
        <v>12.691333333333333</v>
      </c>
      <c r="K15" s="11">
        <v>10.965666666666666</v>
      </c>
      <c r="L15" s="7">
        <f t="shared" si="2"/>
        <v>-13.597205442033939</v>
      </c>
      <c r="M15" s="7"/>
      <c r="N15" s="11">
        <v>13.295999999999999</v>
      </c>
      <c r="O15" s="11">
        <v>11.884</v>
      </c>
      <c r="P15" s="7">
        <f t="shared" si="3"/>
        <v>-10.619735258724422</v>
      </c>
      <c r="Q15" s="7"/>
      <c r="R15" s="11">
        <v>131.92733333333334</v>
      </c>
      <c r="S15" s="11">
        <v>129.44633333333334</v>
      </c>
      <c r="T15" s="7">
        <f t="shared" si="4"/>
        <v>-1.8805807237317471</v>
      </c>
      <c r="U15" s="7"/>
      <c r="V15" s="11">
        <v>133.39699999999999</v>
      </c>
      <c r="W15" s="11">
        <v>135.78899999999999</v>
      </c>
      <c r="X15" s="7">
        <f t="shared" si="5"/>
        <v>1.7931437738479845</v>
      </c>
      <c r="Y15" s="7"/>
      <c r="Z15" s="11">
        <v>110.557</v>
      </c>
      <c r="AA15" s="11">
        <v>112.60366666666665</v>
      </c>
      <c r="AB15" s="7">
        <f t="shared" si="6"/>
        <v>1.8512320944550347</v>
      </c>
      <c r="AC15" s="7"/>
      <c r="AD15" s="11">
        <v>112.062</v>
      </c>
      <c r="AE15" s="11">
        <v>115.2</v>
      </c>
      <c r="AF15" s="7">
        <f t="shared" si="7"/>
        <v>2.8002355838732176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111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10"/>
    </row>
    <row r="16" spans="1:65" s="106" customFormat="1" x14ac:dyDescent="0.25">
      <c r="A16" s="100" t="s">
        <v>123</v>
      </c>
      <c r="B16" s="102" t="s">
        <v>148</v>
      </c>
      <c r="C16" s="103" t="s">
        <v>151</v>
      </c>
      <c r="D16" s="7"/>
      <c r="E16" s="7"/>
      <c r="F16" s="102" t="s">
        <v>148</v>
      </c>
      <c r="G16" s="103" t="s">
        <v>151</v>
      </c>
      <c r="H16" s="7"/>
      <c r="I16" s="7"/>
      <c r="J16" s="102" t="s">
        <v>148</v>
      </c>
      <c r="K16" s="103" t="s">
        <v>151</v>
      </c>
      <c r="L16" s="7"/>
      <c r="M16" s="7"/>
      <c r="N16" s="102" t="s">
        <v>148</v>
      </c>
      <c r="O16" s="103" t="s">
        <v>151</v>
      </c>
      <c r="P16" s="7"/>
      <c r="Q16" s="7"/>
      <c r="R16" s="102" t="s">
        <v>148</v>
      </c>
      <c r="S16" s="103" t="s">
        <v>151</v>
      </c>
      <c r="T16" s="7"/>
      <c r="U16" s="7"/>
      <c r="V16" s="102" t="s">
        <v>148</v>
      </c>
      <c r="W16" s="103" t="s">
        <v>151</v>
      </c>
      <c r="X16" s="7"/>
      <c r="Y16" s="7"/>
      <c r="Z16" s="102" t="s">
        <v>148</v>
      </c>
      <c r="AA16" s="103" t="s">
        <v>151</v>
      </c>
      <c r="AB16" s="7"/>
      <c r="AC16" s="7"/>
      <c r="AD16" s="102" t="s">
        <v>148</v>
      </c>
      <c r="AE16" s="103" t="s">
        <v>151</v>
      </c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111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10"/>
    </row>
    <row r="17" spans="1:65" s="106" customFormat="1" x14ac:dyDescent="0.25">
      <c r="A17" s="14" t="s">
        <v>17</v>
      </c>
      <c r="B17" s="112">
        <f>AVERAGE(B2:B16)</f>
        <v>139.44340476190479</v>
      </c>
      <c r="C17" s="112">
        <f t="shared" ref="C17:X17" si="9">AVERAGE(C2:C16)</f>
        <v>141.43678571428572</v>
      </c>
      <c r="D17" s="112">
        <f t="shared" si="9"/>
        <v>1.4567404890285012</v>
      </c>
      <c r="E17" s="112"/>
      <c r="F17" s="112">
        <f t="shared" si="9"/>
        <v>141.48135714285715</v>
      </c>
      <c r="G17" s="112">
        <f t="shared" si="9"/>
        <v>144.71135714285717</v>
      </c>
      <c r="H17" s="112">
        <f t="shared" si="9"/>
        <v>2.3225288752298447</v>
      </c>
      <c r="I17" s="112"/>
      <c r="J17" s="112">
        <f t="shared" si="9"/>
        <v>11.75309523809524</v>
      </c>
      <c r="K17" s="112">
        <f t="shared" si="9"/>
        <v>11.49997619047619</v>
      </c>
      <c r="L17" s="112">
        <f t="shared" si="9"/>
        <v>-0.62425317696710836</v>
      </c>
      <c r="M17" s="112"/>
      <c r="N17" s="112">
        <f t="shared" si="9"/>
        <v>12.755928571428569</v>
      </c>
      <c r="O17" s="112">
        <f t="shared" si="9"/>
        <v>12.27657142857143</v>
      </c>
      <c r="P17" s="112">
        <f t="shared" si="9"/>
        <v>-3.4953361944486869</v>
      </c>
      <c r="Q17" s="112"/>
      <c r="R17" s="112">
        <f t="shared" si="9"/>
        <v>138.45407142857141</v>
      </c>
      <c r="S17" s="112">
        <f t="shared" si="9"/>
        <v>139.26985714285715</v>
      </c>
      <c r="T17" s="112">
        <f>AVERAGE(T2:T16)</f>
        <v>0.9041566960138937</v>
      </c>
      <c r="U17" s="112"/>
      <c r="V17" s="112">
        <f t="shared" si="9"/>
        <v>141.93549999999999</v>
      </c>
      <c r="W17" s="112">
        <f t="shared" si="9"/>
        <v>142.49685714285712</v>
      </c>
      <c r="X17" s="112">
        <f t="shared" si="9"/>
        <v>0.80554557263706883</v>
      </c>
      <c r="Y17" s="112"/>
      <c r="Z17" s="112">
        <f>AVERAGE(Z2:Z16)</f>
        <v>120.21619047619049</v>
      </c>
      <c r="AA17" s="112">
        <f t="shared" ref="AA17" si="10">AVERAGE(AA2:AA16)</f>
        <v>118.65785714285713</v>
      </c>
      <c r="AB17" s="112">
        <f t="shared" ref="AB17" si="11">AVERAGE(AB2:AB16)</f>
        <v>-1.1545156188267529</v>
      </c>
      <c r="AC17" s="112"/>
      <c r="AD17" s="112">
        <f t="shared" ref="AD17" si="12">AVERAGE(AD2:AD16)</f>
        <v>125.09599999999999</v>
      </c>
      <c r="AE17" s="112">
        <f t="shared" ref="AE17" si="13">AVERAGE(AE2:AE16)</f>
        <v>121.05435714285714</v>
      </c>
      <c r="AF17" s="112">
        <f t="shared" ref="AF17" si="14">AVERAGE(AF2:AF16)</f>
        <v>-3.0497040203582491</v>
      </c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111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10"/>
    </row>
    <row r="18" spans="1:65" s="106" customFormat="1" x14ac:dyDescent="0.25">
      <c r="A18" s="14" t="s">
        <v>153</v>
      </c>
      <c r="B18" s="11">
        <f>STDEV(B2:B16)</f>
        <v>8.3559685185736789</v>
      </c>
      <c r="C18" s="11">
        <f t="shared" ref="C18:AF18" si="15">STDEV(C2:C16)</f>
        <v>11.151749432039548</v>
      </c>
      <c r="D18" s="11">
        <f t="shared" si="15"/>
        <v>5.7073470448753332</v>
      </c>
      <c r="E18" s="11"/>
      <c r="F18" s="11">
        <f t="shared" si="15"/>
        <v>8.5777621306684466</v>
      </c>
      <c r="G18" s="11">
        <f t="shared" si="15"/>
        <v>12.271745738810845</v>
      </c>
      <c r="H18" s="11">
        <f t="shared" si="15"/>
        <v>6.6903249587233482</v>
      </c>
      <c r="I18" s="11"/>
      <c r="J18" s="11">
        <f t="shared" si="15"/>
        <v>2.9799782206184302</v>
      </c>
      <c r="K18" s="11">
        <f t="shared" si="15"/>
        <v>3.0150954385662545</v>
      </c>
      <c r="L18" s="11">
        <f t="shared" si="15"/>
        <v>15.672812982227844</v>
      </c>
      <c r="M18" s="11"/>
      <c r="N18" s="11">
        <f t="shared" si="15"/>
        <v>3.1279628284306744</v>
      </c>
      <c r="O18" s="11">
        <f t="shared" si="15"/>
        <v>3.2156999887399942</v>
      </c>
      <c r="P18" s="11">
        <f t="shared" si="15"/>
        <v>11.484746229957842</v>
      </c>
      <c r="Q18" s="11"/>
      <c r="R18" s="11">
        <f t="shared" si="15"/>
        <v>12.256294894871822</v>
      </c>
      <c r="S18" s="11">
        <f t="shared" si="15"/>
        <v>14.438381899487833</v>
      </c>
      <c r="T18" s="11">
        <f t="shared" si="15"/>
        <v>9.7309501834803331</v>
      </c>
      <c r="U18" s="11"/>
      <c r="V18" s="11">
        <f t="shared" si="15"/>
        <v>13.544233440841161</v>
      </c>
      <c r="W18" s="11">
        <f t="shared" si="15"/>
        <v>15.69279931814474</v>
      </c>
      <c r="X18" s="11">
        <f t="shared" si="15"/>
        <v>10.803352474704514</v>
      </c>
      <c r="Y18" s="11"/>
      <c r="Z18" s="11">
        <f t="shared" si="15"/>
        <v>10.675109430944373</v>
      </c>
      <c r="AA18" s="11">
        <f t="shared" si="15"/>
        <v>10.032472963975227</v>
      </c>
      <c r="AB18" s="11">
        <f t="shared" si="15"/>
        <v>4.7811800904320512</v>
      </c>
      <c r="AC18" s="11"/>
      <c r="AD18" s="11">
        <f t="shared" si="15"/>
        <v>12.722724847235421</v>
      </c>
      <c r="AE18" s="11">
        <f t="shared" si="15"/>
        <v>11.833291522110525</v>
      </c>
      <c r="AF18" s="11">
        <f t="shared" si="15"/>
        <v>5.6563953319027158</v>
      </c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111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10"/>
    </row>
    <row r="19" spans="1:65" s="7" customFormat="1" x14ac:dyDescent="0.25">
      <c r="A19" s="53"/>
      <c r="B19" s="11"/>
      <c r="C19" s="11"/>
      <c r="F19" s="11"/>
      <c r="G19" s="11"/>
      <c r="J19" s="11"/>
      <c r="K19" s="11"/>
      <c r="N19" s="11"/>
      <c r="O19" s="11"/>
      <c r="R19" s="11"/>
      <c r="S19" s="11"/>
      <c r="V19" s="11"/>
      <c r="W19" s="11"/>
      <c r="Z19" s="11"/>
      <c r="AA19" s="11"/>
      <c r="AD19" s="11"/>
      <c r="AE19" s="11"/>
    </row>
    <row r="20" spans="1:65" s="4" customFormat="1" x14ac:dyDescent="0.25">
      <c r="C20" s="33" t="s">
        <v>185</v>
      </c>
      <c r="D20" s="33"/>
      <c r="E20" s="33"/>
      <c r="F20" s="33"/>
      <c r="G20" s="33" t="s">
        <v>185</v>
      </c>
      <c r="H20" s="33"/>
      <c r="I20" s="33"/>
      <c r="J20" s="33"/>
      <c r="K20" s="33" t="s">
        <v>185</v>
      </c>
      <c r="L20" s="33"/>
      <c r="M20" s="33"/>
      <c r="N20" s="33"/>
      <c r="O20" s="33" t="s">
        <v>185</v>
      </c>
      <c r="P20" s="33"/>
      <c r="Q20" s="33"/>
      <c r="R20" s="33"/>
      <c r="S20" s="33" t="s">
        <v>185</v>
      </c>
      <c r="T20" s="33"/>
      <c r="U20" s="33"/>
      <c r="V20" s="33"/>
      <c r="W20" s="33" t="s">
        <v>185</v>
      </c>
      <c r="X20" s="33"/>
      <c r="Y20" s="33"/>
      <c r="Z20" s="33"/>
      <c r="AA20" s="33" t="s">
        <v>185</v>
      </c>
      <c r="AB20" s="33"/>
      <c r="AC20" s="33"/>
      <c r="AD20" s="33"/>
      <c r="AE20" s="33" t="s">
        <v>185</v>
      </c>
      <c r="AF20" s="33"/>
    </row>
    <row r="21" spans="1:65" s="4" customFormat="1" x14ac:dyDescent="0.25">
      <c r="C21" s="33" t="s">
        <v>213</v>
      </c>
      <c r="D21" s="33"/>
      <c r="E21" s="33"/>
      <c r="F21" s="33"/>
      <c r="G21" s="33" t="s">
        <v>214</v>
      </c>
      <c r="H21" s="33"/>
      <c r="I21" s="33"/>
      <c r="J21" s="33"/>
      <c r="K21" s="33" t="s">
        <v>215</v>
      </c>
      <c r="L21" s="33"/>
      <c r="M21" s="33"/>
      <c r="N21" s="33"/>
      <c r="O21" s="33" t="s">
        <v>216</v>
      </c>
      <c r="P21" s="33"/>
      <c r="Q21" s="33"/>
      <c r="R21" s="33"/>
      <c r="S21" s="33" t="s">
        <v>217</v>
      </c>
      <c r="T21" s="33"/>
      <c r="U21" s="33"/>
      <c r="V21" s="33"/>
      <c r="W21" s="33" t="s">
        <v>218</v>
      </c>
      <c r="X21" s="33"/>
      <c r="Y21" s="33"/>
      <c r="Z21" s="33"/>
      <c r="AA21" s="33" t="s">
        <v>219</v>
      </c>
      <c r="AB21" s="33"/>
      <c r="AC21" s="33"/>
      <c r="AD21" s="33"/>
      <c r="AE21" s="33" t="s">
        <v>220</v>
      </c>
      <c r="AF21" s="33"/>
    </row>
    <row r="22" spans="1:65" s="4" customFormat="1" x14ac:dyDescent="0.25"/>
    <row r="23" spans="1:65" s="4" customFormat="1" x14ac:dyDescent="0.25"/>
    <row r="24" spans="1:65" s="4" customFormat="1" x14ac:dyDescent="0.25">
      <c r="A24" s="4" t="s">
        <v>49</v>
      </c>
      <c r="B24" s="4" t="s">
        <v>44</v>
      </c>
    </row>
    <row r="25" spans="1:65" s="4" customFormat="1" x14ac:dyDescent="0.25">
      <c r="B25" s="4" t="s">
        <v>45</v>
      </c>
    </row>
    <row r="26" spans="1:65" s="4" customFormat="1" x14ac:dyDescent="0.25">
      <c r="B26" s="4" t="s">
        <v>46</v>
      </c>
    </row>
    <row r="27" spans="1:65" s="4" customFormat="1" x14ac:dyDescent="0.25">
      <c r="B27" s="4" t="s">
        <v>47</v>
      </c>
    </row>
    <row r="28" spans="1:65" s="4" customFormat="1" x14ac:dyDescent="0.25">
      <c r="B28" s="4" t="s">
        <v>48</v>
      </c>
    </row>
    <row r="29" spans="1:65" s="4" customFormat="1" x14ac:dyDescent="0.25"/>
    <row r="30" spans="1:65" s="4" customFormat="1" x14ac:dyDescent="0.25"/>
    <row r="31" spans="1:65" s="4" customFormat="1" x14ac:dyDescent="0.25"/>
    <row r="32" spans="1:65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General Day 1 Pre and Post</vt:lpstr>
      <vt:lpstr>Hand-Arm Strength</vt:lpstr>
      <vt:lpstr>Lower Body Strength</vt:lpstr>
      <vt:lpstr>Agility-Dy Balance</vt:lpstr>
      <vt:lpstr>Cognition</vt:lpstr>
      <vt:lpstr>CVLT</vt:lpstr>
      <vt:lpstr>NIH</vt:lpstr>
      <vt:lpstr>Aerobic Endurnce</vt:lpstr>
      <vt:lpstr>Gait SS</vt:lpstr>
      <vt:lpstr>Gait FG</vt:lpstr>
      <vt:lpstr>Gait DT</vt:lpstr>
      <vt:lpstr>Gait Velocities and Costs</vt:lpstr>
      <vt:lpstr>Step Reaction</vt:lpstr>
      <vt:lpstr>Balance MTS</vt:lpstr>
      <vt:lpstr>Balance NS</vt:lpstr>
      <vt:lpstr>Balance TS</vt:lpstr>
      <vt:lpstr>RPAQ</vt:lpstr>
      <vt:lpstr>Bloodwork</vt:lpstr>
      <vt:lpstr>FitBit</vt:lpstr>
      <vt:lpstr>Swings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Kanwar, Kiran</dc:creator>
  <cp:lastModifiedBy>Chengwei Lei</cp:lastModifiedBy>
  <dcterms:created xsi:type="dcterms:W3CDTF">2018-07-23T14:51:23Z</dcterms:created>
  <dcterms:modified xsi:type="dcterms:W3CDTF">2021-09-30T23:38:14Z</dcterms:modified>
</cp:coreProperties>
</file>